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2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4fd78c41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a68f68e116b4e8a"/>
    <x:sheet xmlns:r="http://schemas.openxmlformats.org/officeDocument/2006/relationships" name="Assumptions" sheetId="2" r:id="R2869597110d74637"/>
    <x:sheet xmlns:r="http://schemas.openxmlformats.org/officeDocument/2006/relationships" name="Anthropic" sheetId="3" r:id="R1a9a0d2cc43c440c"/>
    <x:sheet xmlns:r="http://schemas.openxmlformats.org/officeDocument/2006/relationships" name="OpenAI" sheetId="4" r:id="R587e40c037f64068"/>
    <x:sheet xmlns:r="http://schemas.openxmlformats.org/officeDocument/2006/relationships" name="Sources" sheetId="5" r:id="R690314d7b3f04f77"/>
  </x:sheets>
</x:workbook>
</file>

<file path=xl/comments1.xml><?xml version="1.0" encoding="utf-8"?>
<x:comments xmlns:x="http://schemas.openxmlformats.org/spreadsheetml/2006/main">
  <x:authors>
    <x:author/>
  </x:authors>
  <x:commentList>
    <x:comment ref="H86" authorId="0">
      <x:text>
        <x:r>
          <x:t>https://www.reuters.com/business/finance/anthropics-q3-revenue-surges-45-nearly-17-billion-2026-10-14/</x:t>
        </x:r>
      </x:text>
    </x:comment>
    <x:comment ref="E12" authorId="0">
      <x:text>
        <x:r>
          <x:t>Illustrative V2 Base assumption. Reported quarters: https://www.reuters.com/business/finance/anthropics-q3-revenue-surges-45-nearly-17-billion-2026-10-14/. Q4 $20.16B is assumed, not reported.</x:t>
        </x:r>
      </x:text>
    </x:comment>
    <x:comment ref="F12" authorId="0">
      <x:text>
        <x:r>
          <x:t>Illustrative V2 Base assumption retained at $35B. No verified company FY2026 forecast is attributed to this input.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D7" authorId="0">
      <x:text>
        <x:r>
          <x:t>S01: https://www.anthropic.com/news/series-h</x:t>
        </x:r>
      </x:text>
    </x:comment>
    <x:comment ref="D8" authorId="0">
      <x:text>
        <x:r>
          <x:t>S02: https://openai.com/index/accelerating-the-next-phase-ai/</x:t>
        </x:r>
      </x:text>
    </x:comment>
    <x:comment ref="D9" authorId="0">
      <x:text>
        <x:r>
          <x:t>S03: https://www.reuters.com/legal/transactional/openai-targets-30-billion-funding-14-trillion-valuation-bloomberg-news-reports-2026-09-29/</x:t>
        </x:r>
      </x:text>
    </x:comment>
    <x:comment ref="D10" authorId="0">
      <x:text>
        <x:r>
          <x:t>S05: https://www.investing.com/news/stock-market-news/openais-annualized-revenue-20-billion-less-than-previously-signaled-ft-reports-4939854</x:t>
        </x:r>
      </x:text>
    </x:comment>
    <x:comment ref="D11" authorId="0">
      <x:text>
        <x:r>
          <x:t>S18: https://www.reuters.com/business/finance/anthropics-q3-revenue-surges-45-nearly-17-billion-2026-10-14/</x:t>
        </x:r>
      </x:text>
    </x:comment>
    <x:comment ref="D12" authorId="0">
      <x:text>
        <x:r>
          <x:t>S18: https://www.reuters.com/business/finance/anthropics-q3-revenue-surges-45-nearly-17-billion-2026-10-14/</x:t>
        </x:r>
      </x:text>
    </x:comment>
    <x:comment ref="D13" authorId="0">
      <x:text>
        <x:r>
          <x:t>S18: https://www.reuters.com/business/finance/anthropics-q3-revenue-surges-45-nearly-17-billion-2026-10-14/</x:t>
        </x:r>
      </x:text>
    </x:comment>
    <x:comment ref="D14" authorId="0">
      <x:text>
        <x:r>
          <x:t>S07: https://www.reuters.com/business/finance/anthropics-ipo-prospectus-shows-sweeping-ai-vision-surging-costs-2026-09-28/</x:t>
        </x:r>
      </x:text>
    </x:comment>
    <x:comment ref="D15" authorId="0">
      <x:text>
        <x:r>
          <x:t>S08: https://arstechnica.com/ai/2026/06/leaked-financial-docs-show-openai-is-losing-billions-of-dollars-a-year/</x:t>
        </x:r>
      </x:text>
    </x:comment>
    <x:comment ref="D16" authorId="0">
      <x:text>
        <x:r>
          <x:t>S13: https://www.reuters.com/business/anthropics-518-billion-ai-buildout-hinges-largely-deals-that-cannot-be-canceled-2026-09-29/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.0;($#,##0.0);&quot;-&quot;"/>
    <x:numFmt numFmtId="201" formatCode="mm/dd/yy"/>
    <x:numFmt numFmtId="202" formatCode="0.0%;(0.0%);&quot;-&quot;"/>
    <x:numFmt numFmtId="203" formatCode="0.00&quot;x&quot;;(0.00&quot;x&quot;);&quot;-&quot;"/>
    <x:numFmt numFmtId="204" formatCode="#,##0.0;(#,##0.0);&quot;-&quot;"/>
    <x:numFmt numFmtId="205" formatCode="0.0000"/>
    <x:numFmt numFmtId="206" formatCode="@"/>
  </x:numFmts>
  <x:fonts count="17">
    <x:font>
      <x:sz val="11"/>
      <x:name val="Carlito"/>
    </x:font>
    <x:font>
      <x:sz val="10"/>
      <x:color rgb="FF202824"/>
      <x:name val="Arial"/>
    </x:font>
    <x:font>
      <x:b/>
      <x:sz val="16"/>
      <x:color rgb="FF24302D"/>
      <x:name val="Arial"/>
    </x:font>
    <x:font>
      <x:i/>
      <x:sz val="10"/>
      <x:color rgb="FF69736C"/>
      <x:name val="Arial"/>
    </x:font>
    <x:font>
      <x:b/>
      <x:sz val="10"/>
      <x:color rgb="FF217143"/>
      <x:name val="Arial"/>
    </x:font>
    <x:font>
      <x:b/>
      <x:sz val="10"/>
      <x:color rgb="FFFFFFFF"/>
      <x:name val="Arial"/>
    </x:font>
    <x:font>
      <x:b/>
      <x:sz val="10"/>
      <x:color rgb="FF24302D"/>
      <x:name val="Arial"/>
    </x:font>
    <x:font>
      <x:b/>
      <x:sz val="10"/>
      <x:color rgb="FF1753A0"/>
      <x:name val="Arial"/>
    </x:font>
    <x:font>
      <x:b/>
      <x:sz val="10"/>
      <x:color rgb="FF202824"/>
      <x:name val="Arial"/>
    </x:font>
    <x:font>
      <x:sz val="10"/>
      <x:color rgb="FF1753A0"/>
      <x:name val="Arial"/>
    </x:font>
    <x:font>
      <x:b/>
      <x:i/>
      <x:sz val="10"/>
      <x:color rgb="FF202824"/>
      <x:name val="Arial"/>
    </x:font>
    <x:font>
      <x:i/>
      <x:sz val="10"/>
      <x:color rgb="FF202824"/>
      <x:name val="Arial"/>
    </x:font>
    <x:font>
      <x:i/>
      <x:sz val="10"/>
      <x:color rgb="FF1753A0"/>
      <x:name val="Arial"/>
    </x:font>
    <x:font>
      <x:sz val="10"/>
      <x:color rgb="FF217143"/>
      <x:name val="Arial"/>
    </x:font>
    <x:font>
      <x:i/>
      <x:sz val="10"/>
      <x:color rgb="FF217143"/>
      <x:name val="Arial"/>
    </x:font>
    <x:font>
      <x:b/>
      <x:sz val="12"/>
      <x:color rgb="FF24302D"/>
      <x:name val="Arial"/>
    </x:font>
    <x:font>
      <x:b/>
      <x:sz val="14"/>
      <x:color rgb="FF24302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304A42"/>
      </x:patternFill>
    </x:fill>
    <x:fill>
      <x:patternFill patternType="solid">
        <x:fgColor rgb="FFEAF0E9"/>
      </x:patternFill>
    </x:fill>
    <x:fill>
      <x:patternFill patternType="solid">
        <x:fgColor rgb="FFF5F7F3"/>
      </x:patternFill>
    </x:fill>
    <x:fill>
      <x:patternFill patternType="solid">
        <x:fgColor rgb="FFFFF2CC"/>
      </x:patternFill>
    </x:fill>
    <x:fill>
      <x:patternFill patternType="solid">
        <x:fgColor rgb="FFF2F6FD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D4D9D1"/>
      </x:bottom>
      <x:diagonal/>
    </x:border>
    <x:border>
      <x:left style="dotted">
        <x:color rgb="FFD4D9D1"/>
      </x:left>
      <x:right style="dotted">
        <x:color rgb="FFD4D9D1"/>
      </x:right>
      <x:top style="dotted">
        <x:color rgb="FFD4D9D1"/>
      </x:top>
      <x:bottom style="dotted">
        <x:color rgb="FFD4D9D1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4D9D1"/>
      </x:top>
      <x:bottom/>
      <x:diagonal/>
    </x:border>
    <x:border>
      <x:left/>
      <x:right/>
      <x:top/>
      <x:bottom style="double">
        <x:color rgb="FF304A42"/>
      </x:bottom>
      <x:diagonal/>
    </x:border>
  </x:borders>
  <x:cellStyleXfs count="1">
    <x:xf numFmtId="0" fontId="0" fillId="0" borderId="0"/>
  </x:cellStyleXfs>
  <x:cellXfs count="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horizontal="center" vertic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0" fontId="9" fillId="2" borderId="0" xfId="0" applyNumberFormat="1" applyFont="1" applyFill="1" applyBorder="1" applyAlignment="1">
      <x:alignment vertical="center"/>
    </x:xf>
    <x:xf numFmtId="200" fontId="9" fillId="7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202" fontId="11" fillId="2" borderId="0" xfId="0" applyNumberFormat="1" applyFont="1" applyFill="1" applyBorder="1" applyAlignment="1">
      <x:alignment vertical="center"/>
    </x:xf>
    <x:xf numFmtId="202" fontId="12" fillId="2" borderId="0" xfId="0" applyNumberFormat="1" applyFont="1" applyFill="1" applyBorder="1" applyAlignment="1">
      <x:alignment vertical="center"/>
    </x:xf>
    <x:xf numFmtId="202" fontId="12" fillId="7" borderId="0" xfId="0" applyNumberFormat="1" applyFont="1" applyFill="1" applyBorder="1" applyAlignment="1">
      <x:alignment vertical="center"/>
    </x:xf>
    <x:xf numFmtId="203" fontId="8" fillId="4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0" fillId="4" borderId="0" xfId="0" applyNumberFormat="1" applyFont="1" applyFill="1" applyBorder="1" applyAlignment="1">
      <x:alignment vertical="center"/>
    </x:xf>
    <x:xf numFmtId="203" fontId="11" fillId="2" borderId="0" xfId="0" applyNumberFormat="1" applyFont="1" applyFill="1" applyBorder="1" applyAlignment="1">
      <x:alignment vertical="center"/>
    </x:xf>
    <x:xf numFmtId="203" fontId="12" fillId="2" borderId="0" xfId="0" applyNumberFormat="1" applyFont="1" applyFill="1" applyBorder="1" applyAlignment="1">
      <x:alignment vertical="center"/>
    </x:xf>
    <x:xf numFmtId="203" fontId="12" fillId="7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11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204" fontId="8" fillId="2" borderId="0" xfId="0" applyNumberFormat="1" applyFont="1" applyFill="1" applyBorder="1" applyAlignment="1">
      <x:alignment vertical="center"/>
    </x:xf>
    <x:xf numFmtId="0" fontId="8" fillId="2" borderId="6" xfId="0" applyNumberFormat="1" applyFont="1" applyFill="1" applyBorder="1" applyAlignment="1">
      <x:alignment vertical="center"/>
    </x:xf>
    <x:xf numFmtId="204" fontId="8" fillId="2" borderId="6" xfId="0" applyNumberFormat="1" applyFont="1" applyFill="1" applyBorder="1" applyAlignment="1">
      <x:alignment vertical="center"/>
    </x:xf>
    <x:xf numFmtId="200" fontId="8" fillId="2" borderId="0" xfId="0" applyNumberFormat="1" applyFont="1" applyFill="1" applyBorder="1" applyAlignment="1">
      <x:alignment vertical="center"/>
    </x:xf>
    <x:xf numFmtId="200" fontId="8" fillId="2" borderId="6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vertical="center"/>
    </x:xf>
    <x:xf numFmtId="200" fontId="8" fillId="4" borderId="6" xfId="0" applyNumberFormat="1" applyFont="1" applyFill="1" applyBorder="1" applyAlignment="1">
      <x:alignment vertical="center"/>
    </x:xf>
    <x:xf numFmtId="200" fontId="13" fillId="2" borderId="0" xfId="0" applyNumberFormat="1" applyFont="1" applyFill="1" applyBorder="1" applyAlignment="1">
      <x:alignment vertical="center"/>
    </x:xf>
    <x:xf numFmtId="200" fontId="4" fillId="4" borderId="6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202" fontId="14" fillId="2" borderId="0" xfId="0" applyNumberFormat="1" applyFont="1" applyFill="1" applyBorder="1" applyAlignment="1">
      <x:alignment vertical="center"/>
    </x:xf>
    <x:xf numFmtId="204" fontId="13" fillId="2" borderId="0" xfId="0" applyNumberFormat="1" applyFont="1" applyFill="1" applyBorder="1" applyAlignment="1">
      <x:alignment vertical="center"/>
    </x:xf>
    <x:xf numFmtId="201" fontId="13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5" fillId="4" borderId="0" xfId="0" applyNumberFormat="1" applyFont="1" applyFill="1" applyBorder="1" applyAlignment="1">
      <x:alignment vertical="center"/>
    </x:xf>
    <x:xf numFmtId="200" fontId="15" fillId="4" borderId="0" xfId="0" applyNumberFormat="1" applyFont="1" applyFill="1" applyBorder="1" applyAlignment="1">
      <x:alignment vertical="center"/>
    </x:xf>
    <x:xf numFmtId="0" fontId="15" fillId="4" borderId="7" xfId="0" applyNumberFormat="1" applyFont="1" applyFill="1" applyBorder="1" applyAlignment="1">
      <x:alignment vertical="center"/>
    </x:xf>
    <x:xf numFmtId="200" fontId="15" fillId="4" borderId="7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  <x:xf numFmtId="0" fontId="16" fillId="4" borderId="0" xfId="0" applyNumberFormat="1" applyFont="1" applyFill="1" applyBorder="1" applyAlignment="1">
      <x:alignment vertical="center"/>
    </x:xf>
    <x:xf numFmtId="200" fontId="16" fillId="4" borderId="0" xfId="0" applyNumberFormat="1" applyFont="1" applyFill="1" applyBorder="1" applyAlignment="1">
      <x:alignment vertical="center"/>
    </x:xf>
    <x:xf numFmtId="200" fontId="9" fillId="7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2" fontId="12" fillId="7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12" fillId="7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7" fillId="6" borderId="2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47"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  <x:dxf>
      <x:font>
        <x:b/>
        <x:color rgb="FFA22D31"/>
      </x:font>
      <x:fill>
        <x:patternFill patternType="solid">
          <x:bgColor rgb="FFFC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042e5cf244c96" /><Relationship Type="http://schemas.openxmlformats.org/officeDocument/2006/relationships/theme" Target="/xl/theme/theme1.xml" Id="R75f48d8e71f1435a" /><Relationship Type="http://schemas.microsoft.com/office/2022/11/relationships/FeaturePropertyBag" Target="/xl/featurePropertyBag/featurePropertyBag.xml" Id="R788afb0a780b40c2" /><Relationship Type="http://schemas.openxmlformats.org/officeDocument/2006/relationships/sharedStrings" Target="/xl/sharedStrings.xml" Id="R26d27896cc844c38" /><Relationship Type="http://schemas.openxmlformats.org/officeDocument/2006/relationships/worksheet" Target="/xl/worksheets/sheet1.xml" Id="Rea68f68e116b4e8a" /><Relationship Type="http://schemas.openxmlformats.org/officeDocument/2006/relationships/worksheet" Target="/xl/worksheets/sheet2.xml" Id="R2869597110d74637" /><Relationship Type="http://schemas.openxmlformats.org/officeDocument/2006/relationships/worksheet" Target="/xl/worksheets/sheet3.xml" Id="R1a9a0d2cc43c440c" /><Relationship Type="http://schemas.openxmlformats.org/officeDocument/2006/relationships/worksheet" Target="/xl/worksheets/sheet4.xml" Id="R587e40c037f64068" /><Relationship Type="http://schemas.openxmlformats.org/officeDocument/2006/relationships/worksheet" Target="/xl/worksheets/sheet5.xml" Id="R690314d7b3f04f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cc5737e8c6b486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Future FCFF (USD billions)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Anthropic</c:v>
          </c:tx>
          <c:spPr>
            <a:solidFill xmlns:a="http://schemas.openxmlformats.org/drawingml/2006/main">
              <a:srgbClr val="B3654C"/>
            </a:solidFill>
            <a:ln xmlns:a="http://schemas.openxmlformats.org/drawingml/2006/main" w="19050">
              <a:solidFill>
                <a:srgbClr val="B3654C"/>
              </a:solidFill>
              <a:prstDash val="solid"/>
            </a:ln>
          </c:spPr>
          <c:marker>
            <c:symbol val="none"/>
          </c:marker>
          <c:cat>
            <c:strRef>
              <c:f>'Summary'!$C$38:$C$48</c:f>
              <c:strCache>
                <c:ptCount val="0"/>
              </c:strCache>
            </c:strRef>
          </c:cat>
          <c:val>
            <c:numRef>
              <c:f>'Summary'!$E$38:$E$48</c:f>
              <c:numCache>
                <c:formatCode>$#,##0.0;($#,##0.0);"-"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OpenAI</c:v>
          </c:tx>
          <c:spPr>
            <a:solidFill xmlns:a="http://schemas.openxmlformats.org/drawingml/2006/main">
              <a:srgbClr val="247D73"/>
            </a:solidFill>
            <a:ln xmlns:a="http://schemas.openxmlformats.org/drawingml/2006/main" w="19050">
              <a:solidFill>
                <a:srgbClr val="247D73"/>
              </a:solidFill>
              <a:prstDash val="solid"/>
            </a:ln>
          </c:spPr>
          <c:marker>
            <c:symbol val="none"/>
          </c:marker>
          <c:cat>
            <c:strRef>
              <c:f>'Summary'!$C$38:$C$48</c:f>
              <c:strCache>
                <c:ptCount val="0"/>
              </c:strCache>
            </c:strRef>
          </c:cat>
          <c:val>
            <c:numRef>
              <c:f>'Summary'!$F$38:$F$48</c:f>
              <c:numCache>
                <c:formatCode>$#,##0.0;($#,##0.0);"-"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;($#,##0);&quot;-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15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c5737e8c6b4860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10613e8418745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0cdd757997f640a3" /><Relationship Type="http://schemas.openxmlformats.org/officeDocument/2006/relationships/vmlDrawing" Target="/xl/drawings/vmldrawing.vml" Id="R4c2b794374844ff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2.xml" Id="R905fd9cfc103426b" /><Relationship Type="http://schemas.openxmlformats.org/officeDocument/2006/relationships/vmlDrawing" Target="/xl/drawings/vmldrawing2.vml" Id="R835b02a986ef4d72" /></Relationships>
</file>

<file path=xl/worksheets/sheet1.xml><?xml version="1.0" encoding="utf-8"?>
<x:worksheet xmlns:x="http://schemas.openxmlformats.org/spreadsheetml/2006/main">
  <x:sheetPr>
    <x:tabColor rgb="FF304A42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2.200000047683716" hidden="0" customWidth="1"/>
    <x:col min="3" max="3" width="37" hidden="0" customWidth="1"/>
    <x:col min="4" max="4" width="5" hidden="0" customWidth="1"/>
    <x:col min="5" max="5" width="17" hidden="0" customWidth="1"/>
    <x:col min="6" max="6" width="17" hidden="0" customWidth="1"/>
    <x:col min="7" max="7" width="4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3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9" customHeight="1">
      <x:c r="A2" s="3"/>
      <x:c r="B2" s="3"/>
      <x:c r="C2" s="4" t="str">
        <x:v>Frontier AI Valuation Lab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0" customHeight="1">
      <x:c r="A3" s="3"/>
      <x:c r="B3" s="3"/>
      <x:c r="C3" s="6" t="str">
        <x:v>Anthropic and OpenAI. Scenario enterprise value in USD billions.</x:v>
      </x:c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0" customHeight="1">
      <x:c r="A5" s="3"/>
      <x:c r="B5" s="3"/>
      <x:c r="C5" s="3" t="str">
        <x:v>Case selected:</x:v>
      </x:c>
      <x:c r="D5" s="3"/>
      <x:c r="E5" s="9" t="str">
        <x:f>'Assumptions'!F5</x:f>
        <x:v>Base</x:v>
      </x:c>
      <x:c r="F5" s="3"/>
      <x:c r="G5" s="3"/>
      <x:c r="H5" s="3" t="str">
        <x:v>As of:</x:v>
      </x:c>
      <x:c r="I5" s="20" t="n">
        <x:f>'Assumptions'!I5</x:f>
        <x:v>46313</x:v>
      </x:c>
      <x:c r="J5" s="3"/>
      <x:c r="K5" s="3"/>
      <x:c r="L5" s="3"/>
      <x:c r="M5" s="3"/>
      <x:c r="N5" s="3"/>
      <x:c r="O5" s="3"/>
    </x:row>
    <x:row r="6" ht="2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2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2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</x:row>
    <x:row r="9" ht="24" customHeight="1">
      <x:c r="A9" s="3"/>
      <x:c r="B9" s="3"/>
      <x:c r="C9" s="15" t="str">
        <x:v>Operating valuation</x:v>
      </x:c>
      <x:c r="D9" s="16"/>
      <x:c r="E9" s="16" t="str">
        <x:v>Anthropic</x:v>
      </x:c>
      <x:c r="F9" s="17" t="str">
        <x:v>OpenAI</x:v>
      </x:c>
      <x:c r="G9" s="3"/>
      <x:c r="H9" s="3"/>
      <x:c r="I9" s="3"/>
      <x:c r="J9" s="3"/>
      <x:c r="K9" s="3"/>
      <x:c r="L9" s="3"/>
      <x:c r="M9" s="3"/>
      <x:c r="N9" s="3"/>
      <x:c r="O9" s="3"/>
    </x:row>
    <x:row r="10" ht="30" customHeight="1">
      <x:c r="A10" s="3"/>
      <x:c r="B10" s="3"/>
      <x:c r="C10" s="75" t="str">
        <x:v>Enterprise value</x:v>
      </x:c>
      <x:c r="D10" s="75"/>
      <x:c r="E10" s="76" t="n">
        <x:f>'Anthropic'!F32</x:f>
        <x:v>367.7712947995601</x:v>
      </x:c>
      <x:c r="F10" s="76" t="n">
        <x:f>'OpenAI'!F32</x:f>
        <x:v>258.86259028034846</x:v>
      </x:c>
      <x:c r="G10" s="3"/>
      <x:c r="H10" s="3"/>
      <x:c r="I10" s="3"/>
      <x:c r="J10" s="3"/>
      <x:c r="K10" s="3"/>
      <x:c r="L10" s="3"/>
      <x:c r="M10" s="3"/>
      <x:c r="N10" s="3"/>
      <x:c r="O10" s="3"/>
    </x:row>
    <x:row r="11" ht="20" customHeight="1">
      <x:c r="A11" s="3"/>
      <x:c r="B11" s="3"/>
      <x:c r="C11" s="3" t="str">
        <x:v>PV explicit cash flow, including stub</x:v>
      </x:c>
      <x:c r="D11" s="3"/>
      <x:c r="E11" s="19" t="n">
        <x:f>'Anthropic'!F30</x:f>
        <x:v>79.46774792506584</x:v>
      </x:c>
      <x:c r="F11" s="19" t="n">
        <x:f>'OpenAI'!F30</x:f>
        <x:v>0.17606782328086368</x:v>
      </x:c>
      <x:c r="G11" s="3"/>
      <x:c r="H11" s="3"/>
      <x:c r="I11" s="3"/>
      <x:c r="J11" s="3"/>
      <x:c r="K11" s="3"/>
      <x:c r="L11" s="3"/>
      <x:c r="M11" s="3"/>
      <x:c r="N11" s="3"/>
      <x:c r="O11" s="3"/>
    </x:row>
    <x:row r="12" ht="20" customHeight="1">
      <x:c r="A12" s="3"/>
      <x:c r="B12" s="3"/>
      <x:c r="C12" s="3" t="str">
        <x:v>PV terminal value</x:v>
      </x:c>
      <x:c r="D12" s="3"/>
      <x:c r="E12" s="19" t="n">
        <x:f>'Anthropic'!F31</x:f>
        <x:v>288.30354687449426</x:v>
      </x:c>
      <x:c r="F12" s="19" t="n">
        <x:f>'OpenAI'!F31</x:f>
        <x:v>258.6865224570676</x:v>
      </x:c>
      <x:c r="G12" s="3"/>
      <x:c r="H12" s="3"/>
      <x:c r="I12" s="3"/>
      <x:c r="J12" s="3"/>
      <x:c r="K12" s="3"/>
      <x:c r="L12" s="3"/>
      <x:c r="M12" s="3"/>
      <x:c r="N12" s="3"/>
      <x:c r="O12" s="3"/>
    </x:row>
    <x:row r="13" ht="20" customHeight="1">
      <x:c r="A13" s="3"/>
      <x:c r="B13" s="3"/>
      <x:c r="C13" s="41" t="str">
        <x:v>Terminal value / enterprise value</x:v>
      </x:c>
      <x:c r="D13" s="41"/>
      <x:c r="E13" s="42" t="n">
        <x:f>'Anthropic'!F33</x:f>
        <x:v>0.7839207435469461</x:v>
      </x:c>
      <x:c r="F13" s="42" t="n">
        <x:f>'OpenAI'!F33</x:f>
        <x:v>0.9993198406031163</x:v>
      </x:c>
      <x:c r="G13" s="3"/>
      <x:c r="H13" s="3"/>
      <x:c r="I13" s="3"/>
      <x:c r="J13" s="3"/>
      <x:c r="K13" s="3"/>
      <x:c r="L13" s="3"/>
      <x:c r="M13" s="3"/>
      <x:c r="N13" s="3"/>
      <x:c r="O13" s="3"/>
    </x:row>
    <x:row r="14" ht="20" customHeight="1">
      <x:c r="A14" s="3"/>
      <x:c r="B14" s="3"/>
      <x:c r="C14" s="3" t="str">
        <x:v>Peak cumulative FCFF deficit</x:v>
      </x:c>
      <x:c r="D14" s="3"/>
      <x:c r="E14" s="19" t="n">
        <x:f>'Anthropic'!F34</x:f>
        <x:v>30.467746512499993</x:v>
      </x:c>
      <x:c r="F14" s="19" t="n">
        <x:f>'OpenAI'!F34</x:f>
        <x:v>79.81562500000001</x:v>
      </x:c>
      <x:c r="G14" s="3"/>
      <x:c r="H14" s="3"/>
      <x:c r="I14" s="3"/>
      <x:c r="J14" s="3"/>
      <x:c r="K14" s="3"/>
      <x:c r="L14" s="3"/>
      <x:c r="M14" s="3"/>
      <x:c r="N14" s="3"/>
      <x:c r="O14" s="3"/>
    </x:row>
    <x:row r="15" ht="20" customHeight="1">
      <x:c r="A15" s="3"/>
      <x:c r="B15" s="3"/>
      <x:c r="C15" s="3" t="str">
        <x:v>2036 revenue</x:v>
      </x:c>
      <x:c r="D15" s="3"/>
      <x:c r="E15" s="19" t="n">
        <x:f>'Anthropic'!N10</x:f>
        <x:v>630.655655287385</x:v>
      </x:c>
      <x:c r="F15" s="19" t="n">
        <x:f>'OpenAI'!N10</x:f>
        <x:v>497.9649598156801</x:v>
      </x:c>
      <x:c r="G15" s="3"/>
      <x:c r="H15" s="3"/>
      <x:c r="I15" s="3"/>
      <x:c r="J15" s="3"/>
      <x:c r="K15" s="3"/>
      <x:c r="L15" s="3"/>
      <x:c r="M15" s="3"/>
      <x:c r="N15" s="3"/>
      <x:c r="O15" s="3"/>
    </x:row>
    <x:row r="16" ht="20" customHeight="1">
      <x:c r="A16" s="3"/>
      <x:c r="B16" s="3"/>
      <x:c r="C16" s="3" t="str">
        <x:v>2036 FCFF</x:v>
      </x:c>
      <x:c r="D16" s="3"/>
      <x:c r="E16" s="19" t="n">
        <x:f>'Anthropic'!N18</x:f>
        <x:v>77.030083610102</x:v>
      </x:c>
      <x:c r="F16" s="19" t="n">
        <x:f>'OpenAI'!N18</x:f>
        <x:v>66.6917356896</x:v>
      </x:c>
      <x:c r="G16" s="3"/>
      <x:c r="H16" s="3"/>
      <x:c r="I16" s="3"/>
      <x:c r="J16" s="3"/>
      <x:c r="K16" s="3"/>
      <x:c r="L16" s="3"/>
      <x:c r="M16" s="3"/>
      <x:c r="N16" s="3"/>
      <x:c r="O16" s="3"/>
    </x:row>
    <x:row r="17" ht="20" customHeight="1">
      <x:c r="A17" s="3"/>
      <x:c r="B17" s="3"/>
      <x:c r="C17" s="3" t="str">
        <x:v>2037 terminal FCFF</x:v>
      </x:c>
      <x:c r="D17" s="3"/>
      <x:c r="E17" s="19" t="n">
        <x:f>'Anthropic'!L34</x:f>
        <x:v>91.10293932367742</x:v>
      </x:c>
      <x:c r="F17" s="19" t="n">
        <x:f>'OpenAI'!L34</x:f>
        <x:v>81.74406043474274</x:v>
      </x:c>
      <x:c r="G17" s="3"/>
      <x:c r="H17" s="3"/>
      <x:c r="I17" s="3"/>
      <x:c r="J17" s="3"/>
      <x:c r="K17" s="3"/>
      <x:c r="L17" s="3"/>
      <x:c r="M17" s="3"/>
      <x:c r="N17" s="3"/>
      <x:c r="O17" s="3"/>
    </x:row>
    <x:row r="18" ht="20" customHeight="1">
      <x:c r="A18" s="3"/>
      <x:c r="B18" s="3"/>
      <x:c r="C18" s="41" t="str">
        <x:v>Revenue CAGR, 2026–2036</x:v>
      </x:c>
      <x:c r="D18" s="41"/>
      <x:c r="E18" s="42" t="n">
        <x:f>'Anthropic'!F36</x:f>
        <x:v>0.2803806826697528</x:v>
      </x:c>
      <x:c r="F18" s="42" t="n">
        <x:f>'OpenAI'!F36</x:f>
        <x:v>0.304106543264697</x:v>
      </x:c>
      <x:c r="G18" s="3"/>
      <x:c r="H18" s="3"/>
      <x:c r="I18" s="3"/>
      <x:c r="J18" s="3"/>
      <x:c r="K18" s="3"/>
      <x:c r="L18" s="3"/>
      <x:c r="M18" s="3"/>
      <x:c r="N18" s="3"/>
      <x:c r="O18" s="3"/>
    </x:row>
    <x:row r="19" ht="20" customHeight="1">
      <x:c r="A19" s="3"/>
      <x:c r="B19" s="3"/>
      <x:c r="C19" s="41" t="str">
        <x:v>Terminal FCFF change</x:v>
      </x:c>
      <x:c r="D19" s="41"/>
      <x:c r="E19" s="42" t="n">
        <x:f>'Anthropic'!L37</x:f>
        <x:v>0.18269298245614074</x:v>
      </x:c>
      <x:c r="F19" s="42" t="n">
        <x:f>'OpenAI'!L37</x:f>
        <x:v>0.22570000000000023</x:v>
      </x:c>
      <x:c r="G19" s="3"/>
      <x:c r="H19" s="3"/>
      <x:c r="I19" s="3"/>
      <x:c r="J19" s="3"/>
      <x:c r="K19" s="3"/>
      <x:c r="L19" s="3"/>
      <x:c r="M19" s="3"/>
      <x:c r="N19" s="3"/>
      <x:c r="O19" s="3"/>
    </x:row>
    <x:row r="20" ht="20" customHeight="1">
      <x:c r="A20" s="3"/>
      <x:c r="B20" s="3"/>
      <x:c r="C20" s="3" t="str">
        <x:v>Active assumptions</x:v>
      </x:c>
      <x:c r="D20" s="3"/>
      <x:c r="E20" s="74" t="str">
        <x:f>'Anthropic'!E6</x:f>
        <x:v>Valid</x:v>
      </x:c>
      <x:c r="F20" s="74" t="str">
        <x:f>'OpenAI'!E6</x:f>
        <x:v>Valid</x:v>
      </x:c>
      <x:c r="G20" s="3"/>
      <x:c r="H20" s="3"/>
      <x:c r="I20" s="3"/>
      <x:c r="J20" s="3"/>
      <x:c r="K20" s="3"/>
      <x:c r="L20" s="3"/>
      <x:c r="M20" s="3"/>
      <x:c r="N20" s="3"/>
      <x:c r="O20" s="3"/>
    </x:row>
    <x:row r="21" ht="20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</x:row>
    <x:row r="22" ht="20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</x:row>
    <x:row r="23" ht="24" customHeight="1">
      <x:c r="A23" s="3"/>
      <x:c r="B23" s="3"/>
      <x:c r="C23" s="25" t="str">
        <x:v>Completed financing context</x:v>
      </x:c>
      <x:c r="D23" s="25"/>
      <x:c r="E23" s="25"/>
      <x:c r="F23" s="25"/>
      <x:c r="G23" s="3"/>
      <x:c r="H23" s="3"/>
      <x:c r="I23" s="3"/>
      <x:c r="J23" s="3"/>
      <x:c r="K23" s="3"/>
      <x:c r="L23" s="3"/>
      <x:c r="M23" s="3"/>
      <x:c r="N23" s="3"/>
      <x:c r="O23" s="3"/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</x:row>
    <x:row r="25" ht="20" customHeight="1">
      <x:c r="A25" s="3"/>
      <x:c r="B25" s="3"/>
      <x:c r="C25" s="3" t="str">
        <x:v>Post-money equity valuation</x:v>
      </x:c>
      <x:c r="D25" s="3"/>
      <x:c r="E25" s="19" t="n">
        <x:f>'Sources'!E7</x:f>
        <x:v>965</x:v>
      </x:c>
      <x:c r="F25" s="19" t="n">
        <x:f>'Sources'!E8</x:f>
        <x:v>852</x:v>
      </x:c>
      <x:c r="G25" s="3"/>
      <x:c r="H25" s="3"/>
      <x:c r="I25" s="3"/>
      <x:c r="J25" s="3"/>
      <x:c r="K25" s="3"/>
      <x:c r="L25" s="3"/>
      <x:c r="M25" s="3"/>
      <x:c r="N25" s="3"/>
      <x:c r="O25" s="3"/>
    </x:row>
    <x:row r="26" ht="20" customHeight="1">
      <x:c r="A26" s="3"/>
      <x:c r="B26" s="3"/>
      <x:c r="C26" s="3" t="str">
        <x:v>Financing observation date</x:v>
      </x:c>
      <x:c r="D26" s="3"/>
      <x:c r="E26" s="20" t="n">
        <x:f>'Sources'!F7</x:f>
        <x:v>46170</x:v>
      </x:c>
      <x:c r="F26" s="20" t="n">
        <x:f>'Sources'!F8</x:f>
        <x:v>46112</x:v>
      </x:c>
      <x:c r="G26" s="3"/>
      <x:c r="H26" s="3"/>
      <x:c r="I26" s="3"/>
      <x:c r="J26" s="3"/>
      <x:c r="K26" s="3"/>
      <x:c r="L26" s="3"/>
      <x:c r="M26" s="3"/>
      <x:c r="N26" s="3"/>
      <x:c r="O26" s="3"/>
    </x:row>
    <x:row r="27" ht="20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</x:row>
    <x:row r="28" ht="2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</x:row>
    <x:row r="29" ht="20" customHeight="1">
      <x:c r="A29" s="3"/>
      <x:c r="B29" s="3"/>
      <x:c r="C29" s="3" t="str">
        <x:v>A matching current equity bridge is unavailable. Financing equity marks are not operating EV.</x:v>
      </x:c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</x:row>
    <x:row r="30" ht="20" customHeight="1">
      <x:c r="A30" s="3"/>
      <x:c r="B30" s="3"/>
      <x:c r="C30" s="3" t="str">
        <x:v>Peak FCFF deficit excludes opening liquidity and intrayear cash needs.</x:v>
      </x:c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</x:row>
    <x:row r="31" ht="20" customHeight="1">
      <x:c r="A31" s="3"/>
      <x:c r="B31" s="3"/>
      <x:c r="C31" s="3" t="str">
        <x:v>Choose one shared case and edit its blue values on Assumptions. Invalid inputs suppress outputs.</x:v>
      </x:c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</x:row>
    <x:row r="32" ht="20" customHeight="1">
      <x:c r="A32" s="3"/>
      <x:c r="B32" s="3"/>
      <x:c r="C32" s="51" t="str">
        <x:v>Sensitivity and reverse DCF: use the live app linked in the project README.</x:v>
      </x:c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</x:row>
    <x:row r="33" ht="20" customHeight="1">
      <x:c r="A33" s="3"/>
      <x:c r="B33" s="3"/>
      <x:c r="C33" s="3" t="str">
        <x:v>The advanced solver can return multiple growth solutions. This workbook does not approximate that solver.</x:v>
      </x:c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</x:row>
    <x:row r="35" ht="24" customHeight="1">
      <x:c r="A35" s="3"/>
      <x:c r="B35" s="3"/>
      <x:c r="C35" s="25" t="str">
        <x:v>Future free cash flow by year</x:v>
      </x:c>
      <x:c r="D35" s="25"/>
      <x:c r="E35" s="25"/>
      <x:c r="F35" s="25"/>
      <x:c r="G35" s="3"/>
      <x:c r="H35" s="3"/>
      <x:c r="I35" s="3"/>
      <x:c r="J35" s="3"/>
      <x:c r="K35" s="3"/>
      <x:c r="L35" s="3"/>
      <x:c r="M35" s="3"/>
      <x:c r="N35" s="3"/>
      <x:c r="O35" s="3"/>
    </x:row>
    <x:row r="36" ht="2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</x:row>
    <x:row r="37" ht="24" customHeight="1">
      <x:c r="A37" s="3"/>
      <x:c r="B37" s="3"/>
      <x:c r="C37" s="15" t="str">
        <x:v>Year</x:v>
      </x:c>
      <x:c r="D37" s="16"/>
      <x:c r="E37" s="16" t="str">
        <x:v>Anthropic</x:v>
      </x:c>
      <x:c r="F37" s="17" t="str">
        <x:v>OpenAI</x:v>
      </x:c>
      <x:c r="G37" s="3"/>
      <x:c r="H37" s="3"/>
      <x:c r="I37" s="3"/>
      <x:c r="J37" s="3"/>
      <x:c r="K37" s="3"/>
      <x:c r="L37" s="3"/>
      <x:c r="M37" s="3"/>
      <x:c r="N37" s="3"/>
      <x:c r="O37" s="3"/>
    </x:row>
    <x:row r="38" ht="20" customHeight="1">
      <x:c r="A38" s="3"/>
      <x:c r="B38" s="3"/>
      <x:c r="C38" s="3" t="str">
        <x:v>2026 stub</x:v>
      </x:c>
      <x:c r="D38" s="3"/>
      <x:c r="E38" s="19" t="n">
        <x:f>'Anthropic'!D18</x:f>
        <x:v>-3</x:v>
      </x:c>
      <x:c r="F38" s="19" t="n">
        <x:f>'OpenAI'!D18</x:f>
        <x:v>-8</x:v>
      </x:c>
      <x:c r="G38" s="3"/>
      <x:c r="H38" s="3"/>
      <x:c r="I38" s="3"/>
      <x:c r="J38" s="3"/>
      <x:c r="K38" s="3"/>
      <x:c r="L38" s="3"/>
      <x:c r="M38" s="3"/>
      <x:c r="N38" s="3"/>
      <x:c r="O38" s="3"/>
    </x:row>
    <x:row r="39" ht="20" customHeight="1">
      <x:c r="A39" s="3"/>
      <x:c r="B39" s="3"/>
      <x:c r="C39" s="3" t="str">
        <x:v>2027</x:v>
      </x:c>
      <x:c r="D39" s="3"/>
      <x:c r="E39" s="19" t="n">
        <x:f>'Anthropic'!E18</x:f>
        <x:v>-11.131339999999996</x:v>
      </x:c>
      <x:c r="F39" s="19" t="n">
        <x:f>'OpenAI'!E18</x:f>
        <x:v>-19.25</x:v>
      </x:c>
      <x:c r="G39" s="3"/>
      <x:c r="H39" s="3"/>
      <x:c r="I39" s="3"/>
      <x:c r="J39" s="3"/>
      <x:c r="K39" s="3"/>
      <x:c r="L39" s="3"/>
      <x:c r="M39" s="3"/>
      <x:c r="N39" s="3"/>
      <x:c r="O39" s="3"/>
    </x:row>
    <x:row r="40" ht="20" customHeight="1">
      <x:c r="A40" s="3"/>
      <x:c r="B40" s="3"/>
      <x:c r="C40" s="3" t="str">
        <x:v>2028</x:v>
      </x:c>
      <x:c r="D40" s="3"/>
      <x:c r="E40" s="19" t="n">
        <x:f>'Anthropic'!F18</x:f>
        <x:v>-9.981589749999996</x:v>
      </x:c>
      <x:c r="F40" s="19" t="n">
        <x:f>'OpenAI'!F18</x:f>
        <x:v>-20.475</x:v>
      </x:c>
      <x:c r="G40" s="3"/>
      <x:c r="H40" s="3"/>
      <x:c r="I40" s="3"/>
      <x:c r="J40" s="3"/>
      <x:c r="K40" s="3"/>
      <x:c r="L40" s="3"/>
      <x:c r="M40" s="3"/>
      <x:c r="N40" s="3"/>
      <x:c r="O40" s="3"/>
    </x:row>
    <x:row r="41" ht="20" customHeight="1">
      <x:c r="A41" s="3"/>
      <x:c r="B41" s="3"/>
      <x:c r="C41" s="3" t="str">
        <x:v>2029</x:v>
      </x:c>
      <x:c r="D41" s="3"/>
      <x:c r="E41" s="19" t="n">
        <x:f>'Anthropic'!G18</x:f>
        <x:v>-6.3548167625000005</x:v>
      </x:c>
      <x:c r="F41" s="19" t="n">
        <x:f>'OpenAI'!G18</x:f>
        <x:v>-18.50625</x:v>
      </x:c>
      <x:c r="G41" s="3"/>
      <x:c r="H41" s="3"/>
      <x:c r="I41" s="3"/>
      <x:c r="J41" s="3"/>
      <x:c r="K41" s="3"/>
      <x:c r="L41" s="3"/>
      <x:c r="M41" s="3"/>
      <x:c r="N41" s="3"/>
      <x:c r="O41" s="3"/>
    </x:row>
    <x:row r="42" ht="20" customHeight="1">
      <x:c r="A42" s="3"/>
      <x:c r="B42" s="3"/>
      <x:c r="C42" s="3" t="str">
        <x:v>2030</x:v>
      </x:c>
      <x:c r="D42" s="3"/>
      <x:c r="E42" s="19" t="n">
        <x:f>'Anthropic'!H18</x:f>
        <x:v>2.557323838124997</x:v>
      </x:c>
      <x:c r="F42" s="19" t="n">
        <x:f>'OpenAI'!H18</x:f>
        <x:v>-13.584375000000001</x:v>
      </x:c>
      <x:c r="G42" s="3"/>
      <x:c r="H42" s="3"/>
      <x:c r="I42" s="3"/>
      <x:c r="J42" s="3"/>
      <x:c r="K42" s="3"/>
      <x:c r="L42" s="3"/>
      <x:c r="M42" s="3"/>
      <x:c r="N42" s="3"/>
      <x:c r="O42" s="3"/>
    </x:row>
    <x:row r="43" ht="20" customHeight="1">
      <x:c r="A43" s="3"/>
      <x:c r="B43" s="3"/>
      <x:c r="C43" s="3" t="str">
        <x:v>2031</x:v>
      </x:c>
      <x:c r="D43" s="3"/>
      <x:c r="E43" s="19" t="n">
        <x:f>'Anthropic'!I18</x:f>
        <x:v>18.26984623909999</x:v>
      </x:c>
      <x:c r="F43" s="19" t="n">
        <x:f>'OpenAI'!I18</x:f>
        <x:v>0.6866015625000017</x:v>
      </x:c>
      <x:c r="G43" s="3"/>
      <x:c r="H43" s="3"/>
      <x:c r="I43" s="3"/>
      <x:c r="J43" s="3"/>
      <x:c r="K43" s="3"/>
      <x:c r="L43" s="3"/>
      <x:c r="M43" s="3"/>
      <x:c r="N43" s="3"/>
      <x:c r="O43" s="3"/>
    </x:row>
    <x:row r="44" ht="20" customHeight="1">
      <x:c r="A44" s="3"/>
      <x:c r="B44" s="3"/>
      <x:c r="C44" s="3" t="str">
        <x:v>2032</x:v>
      </x:c>
      <x:c r="D44" s="3"/>
      <x:c r="E44" s="19" t="n">
        <x:f>'Anthropic'!J18</x:f>
        <x:v>24.464642556667002</x:v>
      </x:c>
      <x:c r="F44" s="19" t="n">
        <x:f>'OpenAI'!J18</x:f>
        <x:v>5.4362896875000075</x:v>
      </x:c>
      <x:c r="G44" s="3"/>
      <x:c r="H44" s="3"/>
      <x:c r="I44" s="3"/>
      <x:c r="J44" s="3"/>
      <x:c r="K44" s="3"/>
      <x:c r="L44" s="3"/>
      <x:c r="M44" s="3"/>
      <x:c r="N44" s="3"/>
      <x:c r="O44" s="3"/>
    </x:row>
    <x:row r="45" ht="20" customHeight="1">
      <x:c r="A45" s="3"/>
      <x:c r="B45" s="3"/>
      <x:c r="C45" s="3" t="str">
        <x:v>2033</x:v>
      </x:c>
      <x:c r="D45" s="3"/>
      <x:c r="E45" s="19" t="n">
        <x:f>'Anthropic'!K18</x:f>
        <x:v>32.58059796329399</x:v>
      </x:c>
      <x:c r="F45" s="19" t="n">
        <x:f>'OpenAI'!K18</x:f>
        <x:v>12.60940137187498</x:v>
      </x:c>
      <x:c r="G45" s="3"/>
      <x:c r="H45" s="3"/>
      <x:c r="I45" s="3"/>
      <x:c r="J45" s="3"/>
      <x:c r="K45" s="3"/>
      <x:c r="L45" s="3"/>
      <x:c r="M45" s="3"/>
      <x:c r="N45" s="3"/>
      <x:c r="O45" s="3"/>
    </x:row>
    <x:row r="46" ht="20" customHeight="1">
      <x:c r="A46" s="3"/>
      <x:c r="B46" s="3"/>
      <x:c r="C46" s="3" t="str">
        <x:v>2034</x:v>
      </x:c>
      <x:c r="D46" s="3"/>
      <x:c r="E46" s="19" t="n">
        <x:f>'Anthropic'!L18</x:f>
        <x:v>56.38036276883621</x:v>
      </x:c>
      <x:c r="F46" s="19" t="n">
        <x:f>'OpenAI'!L18</x:f>
        <x:v>40.264568315999995</x:v>
      </x:c>
      <x:c r="G46" s="3"/>
      <x:c r="H46" s="3"/>
      <x:c r="I46" s="3"/>
      <x:c r="J46" s="3"/>
      <x:c r="K46" s="3"/>
      <x:c r="L46" s="3"/>
      <x:c r="M46" s="3"/>
      <x:c r="N46" s="3"/>
      <x:c r="O46" s="3"/>
    </x:row>
    <x:row r="47" ht="20" customHeight="1">
      <x:c r="A47" s="3"/>
      <x:c r="B47" s="3"/>
      <x:c r="C47" s="3" t="str">
        <x:v>2035</x:v>
      </x:c>
      <x:c r="D47" s="3"/>
      <x:c r="E47" s="19" t="n">
        <x:f>'Anthropic'!M18</x:f>
        <x:v>65.96143333362954</x:v>
      </x:c>
      <x:c r="F47" s="19" t="n">
        <x:f>'OpenAI'!M18</x:f>
        <x:v>52.32125454695998</x:v>
      </x:c>
      <x:c r="G47" s="3"/>
      <x:c r="H47" s="3"/>
      <x:c r="I47" s="3"/>
      <x:c r="J47" s="3"/>
      <x:c r="K47" s="3"/>
      <x:c r="L47" s="3"/>
      <x:c r="M47" s="3"/>
      <x:c r="N47" s="3"/>
      <x:c r="O47" s="3"/>
    </x:row>
    <x:row r="48" ht="20" customHeight="1">
      <x:c r="A48" s="3"/>
      <x:c r="B48" s="3"/>
      <x:c r="C48" s="3" t="str">
        <x:v>2036</x:v>
      </x:c>
      <x:c r="D48" s="3"/>
      <x:c r="E48" s="19" t="n">
        <x:f>'Anthropic'!N18</x:f>
        <x:v>77.030083610102</x:v>
      </x:c>
      <x:c r="F48" s="19" t="n">
        <x:f>'OpenAI'!N18</x:f>
        <x:v>66.6917356896</x:v>
      </x:c>
      <x:c r="G48" s="3"/>
      <x:c r="H48" s="3"/>
      <x:c r="I48" s="3"/>
      <x:c r="J48" s="3"/>
      <x:c r="K48" s="3"/>
      <x:c r="L48" s="3"/>
      <x:c r="M48" s="3"/>
      <x:c r="N48" s="3"/>
      <x:c r="O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</x:row>
    <x:row r="50" ht="2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</x:row>
    <x:row r="51" ht="20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</x:row>
  </x:sheetData>
  <x:conditionalFormatting sqref="E10:E20">
    <x:cfRule type="expression" dxfId="145" priority="1">
      <x:formula>$E$20&lt;&gt;"Valid"</x:formula>
    </x:cfRule>
  </x:conditionalFormatting>
  <x:conditionalFormatting sqref="F10:F20">
    <x:cfRule type="expression" dxfId="146" priority="2">
      <x:formula>$F$20&lt;&gt;"Valid"</x:formula>
    </x:cfRule>
  </x:conditionalFormatting>
  <x:pageMargins left="0.7" right="0.7" top="0.75" bottom="0.75" header="0.3" footer="0.3"/>
  <x:drawing xmlns:r="http://schemas.openxmlformats.org/officeDocument/2006/relationships" r:id="R510613e84187452f"/>
</x:worksheet>
</file>

<file path=xl/worksheets/sheet2.xml><?xml version="1.0" encoding="utf-8"?>
<x:worksheet xmlns:x="http://schemas.openxmlformats.org/spreadsheetml/2006/main">
  <x:sheetPr>
    <x:tabColor rgb="FF5D756B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36" hidden="0" customWidth="1"/>
    <x:col min="4" max="4" width="15" hidden="0" customWidth="1"/>
    <x:col min="5" max="5" width="15" hidden="0" customWidth="1"/>
    <x:col min="6" max="6" width="15" hidden="0" customWidth="1"/>
    <x:col min="7" max="7" width="3" hidden="0" customWidth="1"/>
    <x:col min="8" max="8" width="66" hidden="0" customWidth="1"/>
    <x:col min="9" max="9" width="17" hidden="0" customWidth="1"/>
    <x:col min="10" max="10" width="17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9" customHeight="1">
      <x:c r="A2" s="3"/>
      <x:c r="B2" s="3"/>
      <x:c r="C2" s="4" t="str">
        <x:v>Scenario assumptions</x:v>
      </x:c>
      <x:c r="D2" s="4"/>
      <x:c r="E2" s="4"/>
      <x:c r="F2" s="4"/>
      <x:c r="G2" s="4"/>
      <x:c r="H2" s="4"/>
      <x:c r="I2" s="4"/>
      <x:c r="J2" s="4"/>
    </x:row>
    <x:row r="3" ht="20" customHeight="1">
      <x:c r="A3" s="3"/>
      <x:c r="B3" s="3"/>
      <x:c r="C3" s="6" t="str">
        <x:v>USD billions. Blue case inputs are editable. Every future driver is an analyst assumption.</x:v>
      </x:c>
      <x:c r="D3" s="6"/>
      <x:c r="E3" s="6"/>
      <x:c r="F3" s="6"/>
      <x:c r="G3" s="6"/>
      <x:c r="H3" s="6"/>
      <x:c r="I3" s="6"/>
      <x:c r="J3" s="6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0" customHeight="1">
      <x:c r="A5" s="3"/>
      <x:c r="B5" s="3"/>
      <x:c r="C5" s="3" t="str">
        <x:v>Case selected (1 / 2 / 3):</x:v>
      </x:c>
      <x:c r="D5" s="3"/>
      <x:c r="E5" s="32" t="n">
        <x:v>2</x:v>
      </x:c>
      <x:c r="F5" s="3" t="str">
        <x:f>IF(E6="Valid case",CHOOSE(E5,"Bear","Base","Bull"),"Invalid case")</x:f>
        <x:v>Base</x:v>
      </x:c>
      <x:c r="G5" s="3"/>
      <x:c r="H5" s="3" t="str">
        <x:v>Valuation date (fixed)</x:v>
      </x:c>
      <x:c r="I5" s="20" t="n">
        <x:f>DATE(2026,10,18)</x:f>
        <x:v>46313</x:v>
      </x:c>
      <x:c r="J5" s="3"/>
    </x:row>
    <x:row r="6" ht="20" customHeight="1">
      <x:c r="A6" s="3"/>
      <x:c r="B6" s="3"/>
      <x:c r="C6" s="3" t="str">
        <x:v>1 Bear   2 Base   3 Bull</x:v>
      </x:c>
      <x:c r="D6" s="3"/>
      <x:c r="E6" s="3" t="str">
        <x:f>IF(ISNUMBER(E5),IF(AND(E5&gt;=1,E5&lt;=3,MOD(E5,1)=0),"Valid case","Invalid case"),"Invalid case")</x:f>
        <x:v>Valid case</x:v>
      </x:c>
      <x:c r="F6" s="3"/>
      <x:c r="G6" s="3"/>
      <x:c r="H6" s="3" t="str">
        <x:v>Forecast ends December 31, 2036. Year-end cash flow timing.</x:v>
      </x:c>
      <x:c r="I6" s="3"/>
      <x:c r="J6" s="3"/>
    </x:row>
    <x:row r="7" ht="2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4" customHeight="1">
      <x:c r="A8" s="3"/>
      <x:c r="B8" s="3"/>
      <x:c r="C8" s="15" t="str">
        <x:v>Driver</x:v>
      </x:c>
      <x:c r="D8" s="16" t="str">
        <x:v>Selection</x:v>
      </x:c>
      <x:c r="E8" s="16" t="str">
        <x:v>Anthropic</x:v>
      </x:c>
      <x:c r="F8" s="17" t="str">
        <x:v>OpenAI</x:v>
      </x:c>
      <x:c r="G8" s="3"/>
      <x:c r="H8" s="15" t="str">
        <x:v>Meaning and permitted values</x:v>
      </x:c>
      <x:c r="I8" s="16" t="str">
        <x:v>Anthropic input</x:v>
      </x:c>
      <x:c r="J8" s="17" t="str">
        <x:v>OpenAI input</x:v>
      </x:c>
    </x:row>
    <x:row r="9" ht="20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20" customHeight="1">
      <x:c r="A10" s="3"/>
      <x:c r="B10" s="3"/>
      <x:c r="C10" s="33" t="str">
        <x:v>2026 revenue estimate</x:v>
      </x:c>
      <x:c r="D10" s="33" t="str">
        <x:v>Active</x:v>
      </x:c>
      <x:c r="E10" s="34" t="n">
        <x:f>IF($E$6="Valid case",IF(CHOOSE($E$5,ISNUMBER(E11),ISNUMBER(E12),ISNUMBER(E13)),CHOOSE($E$5,E11,E12,E13),"n.a."),"n.a.")</x:f>
        <x:v>53.26</x:v>
      </x:c>
      <x:c r="F10" s="34" t="n">
        <x:f>IF($E$6="Valid case",IF(CHOOSE($E$5,ISNUMBER(F11),ISNUMBER(F12),ISNUMBER(F13)),CHOOSE($E$5,F11,F12,F13),"n.a."),"n.a.")</x:f>
        <x:v>35</x:v>
      </x:c>
      <x:c r="G10" s="3"/>
      <x:c r="H10" s="3" t="str">
        <x:v>FY2026 estimate, not annualized run-rate. Basis is below.</x:v>
      </x:c>
      <x:c r="I10" s="3" t="str">
        <x:f>IF(AND(ISNUMBER(E10)),IF(AND(E10&gt;0,E10&lt;=10000),"Valid","Invalid"),"Missing / text")</x:f>
        <x:v>Valid</x:v>
      </x:c>
      <x:c r="J10" s="3" t="str">
        <x:f>IF(AND(ISNUMBER(F10)),IF(AND(F10&gt;0,F10&lt;=10000),"Valid","Invalid"),"Missing / text")</x:f>
        <x:v>Valid</x:v>
      </x:c>
    </x:row>
    <x:row r="11" ht="20" customHeight="1">
      <x:c r="A11" s="3"/>
      <x:c r="B11" s="3"/>
      <x:c r="C11" s="3"/>
      <x:c r="D11" s="3" t="str">
        <x:v>Bear</x:v>
      </x:c>
      <x:c r="E11" s="36" t="n">
        <x:v>49.9</x:v>
      </x:c>
      <x:c r="F11" s="36" t="n">
        <x:v>32</x:v>
      </x:c>
      <x:c r="G11" s="3"/>
      <x:c r="H11" s="3"/>
      <x:c r="I11" s="3"/>
      <x:c r="J11" s="3"/>
    </x:row>
    <x:row r="12" ht="20" customHeight="1">
      <x:c r="A12" s="3"/>
      <x:c r="B12" s="3"/>
      <x:c r="C12" s="3"/>
      <x:c r="D12" s="3" t="str">
        <x:v>Base</x:v>
      </x:c>
      <x:c r="E12" s="36" t="n">
        <x:v>53.26</x:v>
      </x:c>
      <x:c r="F12" s="36" t="n">
        <x:v>35</x:v>
      </x:c>
      <x:c r="G12" s="3"/>
      <x:c r="H12" s="3"/>
      <x:c r="I12" s="3"/>
      <x:c r="J12" s="3"/>
    </x:row>
    <x:row r="13" ht="20" customHeight="1">
      <x:c r="A13" s="3"/>
      <x:c r="B13" s="3"/>
      <x:c r="C13" s="3"/>
      <x:c r="D13" s="3" t="str">
        <x:v>Bull</x:v>
      </x:c>
      <x:c r="E13" s="36" t="n">
        <x:v>56.62</x:v>
      </x:c>
      <x:c r="F13" s="36" t="n">
        <x:v>38</x:v>
      </x:c>
      <x:c r="G13" s="3"/>
      <x:c r="H13" s="3"/>
      <x:c r="I13" s="3"/>
      <x:c r="J13" s="3"/>
    </x:row>
    <x:row r="14" ht="20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20" customHeight="1">
      <x:c r="A15" s="3"/>
      <x:c r="B15" s="3"/>
      <x:c r="C15" s="39" t="str">
        <x:v>Revenue growth 2027–2030</x:v>
      </x:c>
      <x:c r="D15" s="39" t="str">
        <x:v>Active</x:v>
      </x:c>
      <x:c r="E15" s="40" t="n">
        <x:f>IF($E$6="Valid case",IF(CHOOSE($E$5,ISNUMBER(E16),ISNUMBER(E17),ISNUMBER(E18)),CHOOSE($E$5,E16,E17,E18),"n.a."),"n.a.")</x:f>
        <x:v>0.45</x:v>
      </x:c>
      <x:c r="F15" s="40" t="n">
        <x:f>IF($E$6="Valid case",IF(CHOOSE($E$5,ISNUMBER(F16),ISNUMBER(F17),ISNUMBER(F18)),CHOOSE($E$5,F16,F17,F18),"n.a."),"n.a.")</x:f>
        <x:v>0.5</x:v>
      </x:c>
      <x:c r="G15" s="3"/>
      <x:c r="H15" s="3" t="str">
        <x:v>Allowed range: 0–200%.</x:v>
      </x:c>
      <x:c r="I15" s="3" t="str">
        <x:f>IF(AND(ISNUMBER(E15)),IF(AND(E15&gt;=0,E15&lt;=2),"Valid","Invalid"),"Missing / text")</x:f>
        <x:v>Valid</x:v>
      </x:c>
      <x:c r="J15" s="3" t="str">
        <x:f>IF(AND(ISNUMBER(F15)),IF(AND(F15&gt;=0,F15&lt;=2),"Valid","Invalid"),"Missing / text")</x:f>
        <x:v>Valid</x:v>
      </x:c>
    </x:row>
    <x:row r="16" ht="20" customHeight="1">
      <x:c r="A16" s="3"/>
      <x:c r="B16" s="3"/>
      <x:c r="C16" s="41"/>
      <x:c r="D16" s="41" t="str">
        <x:v>Bear</x:v>
      </x:c>
      <x:c r="E16" s="44" t="n">
        <x:v>0.25</x:v>
      </x:c>
      <x:c r="F16" s="44" t="n">
        <x:v>0.3</x:v>
      </x:c>
      <x:c r="G16" s="3"/>
      <x:c r="H16" s="3"/>
      <x:c r="I16" s="3"/>
      <x:c r="J16" s="3"/>
    </x:row>
    <x:row r="17" ht="20" customHeight="1">
      <x:c r="A17" s="3"/>
      <x:c r="B17" s="3"/>
      <x:c r="C17" s="41"/>
      <x:c r="D17" s="41" t="str">
        <x:v>Base</x:v>
      </x:c>
      <x:c r="E17" s="44" t="n">
        <x:v>0.45</x:v>
      </x:c>
      <x:c r="F17" s="44" t="n">
        <x:v>0.5</x:v>
      </x:c>
      <x:c r="G17" s="3"/>
      <x:c r="H17" s="3"/>
      <x:c r="I17" s="3"/>
      <x:c r="J17" s="3"/>
    </x:row>
    <x:row r="18" ht="20" customHeight="1">
      <x:c r="A18" s="3"/>
      <x:c r="B18" s="3"/>
      <x:c r="C18" s="41"/>
      <x:c r="D18" s="41" t="str">
        <x:v>Bull</x:v>
      </x:c>
      <x:c r="E18" s="44" t="n">
        <x:v>0.65</x:v>
      </x:c>
      <x:c r="F18" s="44" t="n">
        <x:v>0.7</x:v>
      </x:c>
      <x:c r="G18" s="3"/>
      <x:c r="H18" s="3"/>
      <x:c r="I18" s="3"/>
      <x:c r="J18" s="3"/>
    </x:row>
    <x:row r="19" ht="20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0" customHeight="1">
      <x:c r="A20" s="3"/>
      <x:c r="B20" s="3"/>
      <x:c r="C20" s="39" t="str">
        <x:v>Revenue growth 2031–2033</x:v>
      </x:c>
      <x:c r="D20" s="39" t="str">
        <x:v>Active</x:v>
      </x:c>
      <x:c r="E20" s="40" t="n">
        <x:f>IF($E$6="Valid case",IF(CHOOSE($E$5,ISNUMBER(E21),ISNUMBER(E22),ISNUMBER(E23)),CHOOSE($E$5,E21,E22,E23),"n.a."),"n.a.")</x:f>
        <x:v>0.24</x:v>
      </x:c>
      <x:c r="F20" s="40" t="n">
        <x:f>IF($E$6="Valid case",IF(CHOOSE($E$5,ISNUMBER(F21),ISNUMBER(F22),ISNUMBER(F23)),CHOOSE($E$5,F21,F22,F23),"n.a."),"n.a.")</x:f>
        <x:v>0.26</x:v>
      </x:c>
      <x:c r="G20" s="3"/>
      <x:c r="H20" s="3" t="str">
        <x:v>Allowed range: 0–200%.</x:v>
      </x:c>
      <x:c r="I20" s="3" t="str">
        <x:f>IF(AND(ISNUMBER(E20)),IF(AND(E20&gt;=0,E20&lt;=2),"Valid","Invalid"),"Missing / text")</x:f>
        <x:v>Valid</x:v>
      </x:c>
      <x:c r="J20" s="3" t="str">
        <x:f>IF(AND(ISNUMBER(F20)),IF(AND(F20&gt;=0,F20&lt;=2),"Valid","Invalid"),"Missing / text")</x:f>
        <x:v>Valid</x:v>
      </x:c>
    </x:row>
    <x:row r="21" ht="20" customHeight="1">
      <x:c r="A21" s="3"/>
      <x:c r="B21" s="3"/>
      <x:c r="C21" s="41"/>
      <x:c r="D21" s="41" t="str">
        <x:v>Bear</x:v>
      </x:c>
      <x:c r="E21" s="44" t="n">
        <x:v>0.13</x:v>
      </x:c>
      <x:c r="F21" s="44" t="n">
        <x:v>0.15</x:v>
      </x:c>
      <x:c r="G21" s="3"/>
      <x:c r="H21" s="3"/>
      <x:c r="I21" s="3"/>
      <x:c r="J21" s="3"/>
    </x:row>
    <x:row r="22" ht="20" customHeight="1">
      <x:c r="A22" s="3"/>
      <x:c r="B22" s="3"/>
      <x:c r="C22" s="41"/>
      <x:c r="D22" s="41" t="str">
        <x:v>Base</x:v>
      </x:c>
      <x:c r="E22" s="44" t="n">
        <x:v>0.24</x:v>
      </x:c>
      <x:c r="F22" s="44" t="n">
        <x:v>0.26</x:v>
      </x:c>
      <x:c r="G22" s="3"/>
      <x:c r="H22" s="3"/>
      <x:c r="I22" s="3"/>
      <x:c r="J22" s="3"/>
    </x:row>
    <x:row r="23" ht="20" customHeight="1">
      <x:c r="A23" s="3"/>
      <x:c r="B23" s="3"/>
      <x:c r="C23" s="41"/>
      <x:c r="D23" s="41" t="str">
        <x:v>Bull</x:v>
      </x:c>
      <x:c r="E23" s="44" t="n">
        <x:v>0.3</x:v>
      </x:c>
      <x:c r="F23" s="44" t="n">
        <x:v>0.32</x:v>
      </x:c>
      <x:c r="G23" s="3"/>
      <x:c r="H23" s="3"/>
      <x:c r="I23" s="3"/>
      <x:c r="J23" s="3"/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0" customHeight="1">
      <x:c r="A25" s="3"/>
      <x:c r="B25" s="3"/>
      <x:c r="C25" s="39" t="str">
        <x:v>Revenue growth 2034–2036</x:v>
      </x:c>
      <x:c r="D25" s="39" t="str">
        <x:v>Active</x:v>
      </x:c>
      <x:c r="E25" s="40" t="n">
        <x:f>IF($E$6="Valid case",IF(CHOOSE($E$5,ISNUMBER(E26),ISNUMBER(E27),ISNUMBER(E28)),CHOOSE($E$5,E26,E27,E28),"n.a."),"n.a.")</x:f>
        <x:v>0.12</x:v>
      </x:c>
      <x:c r="F25" s="40" t="n">
        <x:f>IF($E$6="Valid case",IF(CHOOSE($E$5,ISNUMBER(F26),ISNUMBER(F27),ISNUMBER(F28)),CHOOSE($E$5,F26,F27,F28),"n.a."),"n.a.")</x:f>
        <x:v>0.12</x:v>
      </x:c>
      <x:c r="G25" s="3"/>
      <x:c r="H25" s="3" t="str">
        <x:v>0–200%. Must be at least perpetual growth.</x:v>
      </x:c>
      <x:c r="I25" s="3" t="str">
        <x:f>IF(AND(ISNUMBER(E25),ISNUMBER(E55)),IF(AND(E25&gt;=0,E25&lt;=2,E25&gt;=E55),"Valid","Invalid"),"Missing / text")</x:f>
        <x:v>Valid</x:v>
      </x:c>
      <x:c r="J25" s="3" t="str">
        <x:f>IF(AND(ISNUMBER(F25),ISNUMBER(F55)),IF(AND(F25&gt;=0,F25&lt;=2,F25&gt;=F55),"Valid","Invalid"),"Missing / text")</x:f>
        <x:v>Valid</x:v>
      </x:c>
    </x:row>
    <x:row r="26" ht="20" customHeight="1">
      <x:c r="A26" s="3"/>
      <x:c r="B26" s="3"/>
      <x:c r="C26" s="41"/>
      <x:c r="D26" s="41" t="str">
        <x:v>Bear</x:v>
      </x:c>
      <x:c r="E26" s="44" t="n">
        <x:v>0.06</x:v>
      </x:c>
      <x:c r="F26" s="44" t="n">
        <x:v>0.06</x:v>
      </x:c>
      <x:c r="G26" s="3"/>
      <x:c r="H26" s="3"/>
      <x:c r="I26" s="3"/>
      <x:c r="J26" s="3"/>
    </x:row>
    <x:row r="27" ht="20" customHeight="1">
      <x:c r="A27" s="3"/>
      <x:c r="B27" s="3"/>
      <x:c r="C27" s="41"/>
      <x:c r="D27" s="41" t="str">
        <x:v>Base</x:v>
      </x:c>
      <x:c r="E27" s="44" t="n">
        <x:v>0.12</x:v>
      </x:c>
      <x:c r="F27" s="44" t="n">
        <x:v>0.12</x:v>
      </x:c>
      <x:c r="G27" s="3"/>
      <x:c r="H27" s="3"/>
      <x:c r="I27" s="3"/>
      <x:c r="J27" s="3"/>
    </x:row>
    <x:row r="28" ht="20" customHeight="1">
      <x:c r="A28" s="3"/>
      <x:c r="B28" s="3"/>
      <x:c r="C28" s="41"/>
      <x:c r="D28" s="41" t="str">
        <x:v>Bull</x:v>
      </x:c>
      <x:c r="E28" s="44" t="n">
        <x:v>0.15</x:v>
      </x:c>
      <x:c r="F28" s="44" t="n">
        <x:v>0.15</x:v>
      </x:c>
      <x:c r="G28" s="3"/>
      <x:c r="H28" s="3"/>
      <x:c r="I28" s="3"/>
      <x:c r="J28" s="3"/>
    </x:row>
    <x:row r="29" ht="2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0" customHeight="1">
      <x:c r="A30" s="3"/>
      <x:c r="B30" s="3"/>
      <x:c r="C30" s="39" t="str">
        <x:v>Economic EBIT margin 2027</x:v>
      </x:c>
      <x:c r="D30" s="39" t="str">
        <x:v>Active</x:v>
      </x:c>
      <x:c r="E30" s="40" t="n">
        <x:f>IF($E$6="Valid case",IF(CHOOSE($E$5,ISNUMBER(E31),ISNUMBER(E32),ISNUMBER(E33)),CHOOSE($E$5,E31,E32,E33),"n.a."),"n.a.")</x:f>
        <x:v>-0.02</x:v>
      </x:c>
      <x:c r="F30" s="40" t="n">
        <x:f>IF($E$6="Valid case",IF(CHOOSE($E$5,ISNUMBER(F31),ISNUMBER(F32),ISNUMBER(F33)),CHOOSE($E$5,F31,F32,F33),"n.a."),"n.a.")</x:f>
        <x:v>-0.2</x:v>
      </x:c>
      <x:c r="G30" s="3"/>
      <x:c r="H30" s="3" t="str">
        <x:v>Allowed range: −100% to 100%.</x:v>
      </x:c>
      <x:c r="I30" s="3" t="str">
        <x:f>IF(AND(ISNUMBER(E30)),IF(AND(E30&gt;=-1,E30&lt;=1),"Valid","Invalid"),"Missing / text")</x:f>
        <x:v>Valid</x:v>
      </x:c>
      <x:c r="J30" s="3" t="str">
        <x:f>IF(AND(ISNUMBER(F30)),IF(AND(F30&gt;=-1,F30&lt;=1),"Valid","Invalid"),"Missing / text")</x:f>
        <x:v>Valid</x:v>
      </x:c>
    </x:row>
    <x:row r="31" ht="20" customHeight="1">
      <x:c r="A31" s="3"/>
      <x:c r="B31" s="3"/>
      <x:c r="C31" s="41"/>
      <x:c r="D31" s="41" t="str">
        <x:v>Bear</x:v>
      </x:c>
      <x:c r="E31" s="44" t="n">
        <x:v>-0.1</x:v>
      </x:c>
      <x:c r="F31" s="44" t="n">
        <x:v>-0.35</x:v>
      </x:c>
      <x:c r="G31" s="3"/>
      <x:c r="H31" s="3"/>
      <x:c r="I31" s="3"/>
      <x:c r="J31" s="3"/>
    </x:row>
    <x:row r="32" ht="20" customHeight="1">
      <x:c r="A32" s="3"/>
      <x:c r="B32" s="3"/>
      <x:c r="C32" s="41"/>
      <x:c r="D32" s="41" t="str">
        <x:v>Base</x:v>
      </x:c>
      <x:c r="E32" s="44" t="n">
        <x:v>-0.02</x:v>
      </x:c>
      <x:c r="F32" s="44" t="n">
        <x:v>-0.2</x:v>
      </x:c>
      <x:c r="G32" s="3"/>
      <x:c r="H32" s="3"/>
      <x:c r="I32" s="3"/>
      <x:c r="J32" s="3"/>
    </x:row>
    <x:row r="33" ht="20" customHeight="1">
      <x:c r="A33" s="3"/>
      <x:c r="B33" s="3"/>
      <x:c r="C33" s="41"/>
      <x:c r="D33" s="41" t="str">
        <x:v>Bull</x:v>
      </x:c>
      <x:c r="E33" s="44" t="n">
        <x:v>0.05</x:v>
      </x:c>
      <x:c r="F33" s="44" t="n">
        <x:v>-0.1</x:v>
      </x:c>
      <x:c r="G33" s="3"/>
      <x:c r="H33" s="3"/>
      <x:c r="I33" s="3"/>
      <x:c r="J33" s="3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0" customHeight="1">
      <x:c r="A35" s="3"/>
      <x:c r="B35" s="3"/>
      <x:c r="C35" s="39" t="str">
        <x:v>Economic EBIT margin 2030</x:v>
      </x:c>
      <x:c r="D35" s="39" t="str">
        <x:v>Active</x:v>
      </x:c>
      <x:c r="E35" s="40" t="n">
        <x:f>IF($E$6="Valid case",IF(CHOOSE($E$5,ISNUMBER(E36),ISNUMBER(E37),ISNUMBER(E38)),CHOOSE($E$5,E36,E37,E38),"n.a."),"n.a.")</x:f>
        <x:v>0.18</x:v>
      </x:c>
      <x:c r="F35" s="40" t="n">
        <x:f>IF($E$6="Valid case",IF(CHOOSE($E$5,ISNUMBER(F36),ISNUMBER(F37),ISNUMBER(F38)),CHOOSE($E$5,F36,F37,F38),"n.a."),"n.a.")</x:f>
        <x:v>0.12</x:v>
      </x:c>
      <x:c r="G35" s="3"/>
      <x:c r="H35" s="3" t="str">
        <x:v>Allowed range: −100% to 100%.</x:v>
      </x:c>
      <x:c r="I35" s="3" t="str">
        <x:f>IF(AND(ISNUMBER(E35)),IF(AND(E35&gt;=-1,E35&lt;=1),"Valid","Invalid"),"Missing / text")</x:f>
        <x:v>Valid</x:v>
      </x:c>
      <x:c r="J35" s="3" t="str">
        <x:f>IF(AND(ISNUMBER(F35)),IF(AND(F35&gt;=-1,F35&lt;=1),"Valid","Invalid"),"Missing / text")</x:f>
        <x:v>Valid</x:v>
      </x:c>
    </x:row>
    <x:row r="36" ht="20" customHeight="1">
      <x:c r="A36" s="3"/>
      <x:c r="B36" s="3"/>
      <x:c r="C36" s="41"/>
      <x:c r="D36" s="41" t="str">
        <x:v>Bear</x:v>
      </x:c>
      <x:c r="E36" s="44" t="n">
        <x:v>0.06</x:v>
      </x:c>
      <x:c r="F36" s="44" t="n">
        <x:v>-0.05</x:v>
      </x:c>
      <x:c r="G36" s="3"/>
      <x:c r="H36" s="3"/>
      <x:c r="I36" s="3"/>
      <x:c r="J36" s="3"/>
    </x:row>
    <x:row r="37" ht="20" customHeight="1">
      <x:c r="A37" s="3"/>
      <x:c r="B37" s="3"/>
      <x:c r="C37" s="41"/>
      <x:c r="D37" s="41" t="str">
        <x:v>Base</x:v>
      </x:c>
      <x:c r="E37" s="44" t="n">
        <x:v>0.18</x:v>
      </x:c>
      <x:c r="F37" s="44" t="n">
        <x:v>0.12</x:v>
      </x:c>
      <x:c r="G37" s="3"/>
      <x:c r="H37" s="3"/>
      <x:c r="I37" s="3"/>
      <x:c r="J37" s="3"/>
    </x:row>
    <x:row r="38" ht="20" customHeight="1">
      <x:c r="A38" s="3"/>
      <x:c r="B38" s="3"/>
      <x:c r="C38" s="41"/>
      <x:c r="D38" s="41" t="str">
        <x:v>Bull</x:v>
      </x:c>
      <x:c r="E38" s="44" t="n">
        <x:v>0.25</x:v>
      </x:c>
      <x:c r="F38" s="44" t="n">
        <x:v>0.22</x:v>
      </x:c>
      <x:c r="G38" s="3"/>
      <x:c r="H38" s="3"/>
      <x:c r="I38" s="3"/>
      <x:c r="J38" s="3"/>
    </x:row>
    <x:row r="39" ht="2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0" customHeight="1">
      <x:c r="A40" s="3"/>
      <x:c r="B40" s="3"/>
      <x:c r="C40" s="39" t="str">
        <x:v>Economic EBIT margin 2036</x:v>
      </x:c>
      <x:c r="D40" s="39" t="str">
        <x:v>Active</x:v>
      </x:c>
      <x:c r="E40" s="40" t="n">
        <x:f>IF($E$6="Valid case",IF(CHOOSE($E$5,ISNUMBER(E41),ISNUMBER(E42),ISNUMBER(E43)),CHOOSE($E$5,E41,E42,E43),"n.a."),"n.a.")</x:f>
        <x:v>0.22</x:v>
      </x:c>
      <x:c r="F40" s="40" t="n">
        <x:f>IF($E$6="Valid case",IF(CHOOSE($E$5,ISNUMBER(F41),ISNUMBER(F42),ISNUMBER(F43)),CHOOSE($E$5,F41,F42,F43),"n.a."),"n.a.")</x:f>
        <x:v>0.25</x:v>
      </x:c>
      <x:c r="G40" s="3"/>
      <x:c r="H40" s="3" t="str">
        <x:v>Above 0% and at most 100%.</x:v>
      </x:c>
      <x:c r="I40" s="3" t="str">
        <x:f>IF(AND(ISNUMBER(E40)),IF(AND(E40&gt;0,E40&lt;=1),"Valid","Invalid"),"Missing / text")</x:f>
        <x:v>Valid</x:v>
      </x:c>
      <x:c r="J40" s="3" t="str">
        <x:f>IF(AND(ISNUMBER(F40)),IF(AND(F40&gt;0,F40&lt;=1),"Valid","Invalid"),"Missing / text")</x:f>
        <x:v>Valid</x:v>
      </x:c>
    </x:row>
    <x:row r="41" ht="20" customHeight="1">
      <x:c r="A41" s="3"/>
      <x:c r="B41" s="3"/>
      <x:c r="C41" s="41"/>
      <x:c r="D41" s="41" t="str">
        <x:v>Bear</x:v>
      </x:c>
      <x:c r="E41" s="44" t="n">
        <x:v>0.12</x:v>
      </x:c>
      <x:c r="F41" s="44" t="n">
        <x:v>0.12</x:v>
      </x:c>
      <x:c r="G41" s="3"/>
      <x:c r="H41" s="3"/>
      <x:c r="I41" s="3"/>
      <x:c r="J41" s="3"/>
    </x:row>
    <x:row r="42" ht="20" customHeight="1">
      <x:c r="A42" s="3"/>
      <x:c r="B42" s="3"/>
      <x:c r="C42" s="41"/>
      <x:c r="D42" s="41" t="str">
        <x:v>Base</x:v>
      </x:c>
      <x:c r="E42" s="44" t="n">
        <x:v>0.22</x:v>
      </x:c>
      <x:c r="F42" s="44" t="n">
        <x:v>0.25</x:v>
      </x:c>
      <x:c r="G42" s="3"/>
      <x:c r="H42" s="3"/>
      <x:c r="I42" s="3"/>
      <x:c r="J42" s="3"/>
    </x:row>
    <x:row r="43" ht="20" customHeight="1">
      <x:c r="A43" s="3"/>
      <x:c r="B43" s="3"/>
      <x:c r="C43" s="41"/>
      <x:c r="D43" s="41" t="str">
        <x:v>Bull</x:v>
      </x:c>
      <x:c r="E43" s="44" t="n">
        <x:v>0.3</x:v>
      </x:c>
      <x:c r="F43" s="44" t="n">
        <x:v>0.32</x:v>
      </x:c>
      <x:c r="G43" s="3"/>
      <x:c r="H43" s="3"/>
      <x:c r="I43" s="3"/>
      <x:c r="J43" s="3"/>
    </x:row>
    <x:row r="44" ht="2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0" customHeight="1">
      <x:c r="A45" s="3"/>
      <x:c r="B45" s="3"/>
      <x:c r="C45" s="39" t="str">
        <x:v>Sales / invested capital</x:v>
      </x:c>
      <x:c r="D45" s="39" t="str">
        <x:v>Active</x:v>
      </x:c>
      <x:c r="E45" s="47" t="n">
        <x:f>IF($E$6="Valid case",IF(CHOOSE($E$5,ISNUMBER(E46),ISNUMBER(E47),ISNUMBER(E48)),CHOOSE($E$5,E46,E47,E48),"n.a."),"n.a.")</x:f>
        <x:v>2.5</x:v>
      </x:c>
      <x:c r="F45" s="47" t="n">
        <x:f>IF($E$6="Valid case",IF(CHOOSE($E$5,ISNUMBER(F46),ISNUMBER(F47),ISNUMBER(F48)),CHOOSE($E$5,F46,F47,F48),"n.a."),"n.a.")</x:f>
        <x:v>2</x:v>
      </x:c>
      <x:c r="G45" s="3"/>
      <x:c r="H45" s="3" t="str">
        <x:v>Incremental revenue / net investment. 0.05–100x.</x:v>
      </x:c>
      <x:c r="I45" s="3" t="str">
        <x:f>IF(AND(ISNUMBER(E45)),IF(AND(E45&gt;=0.05,E45&lt;=100),"Valid","Invalid"),"Missing / text")</x:f>
        <x:v>Valid</x:v>
      </x:c>
      <x:c r="J45" s="3" t="str">
        <x:f>IF(AND(ISNUMBER(F45)),IF(AND(F45&gt;=0.05,F45&lt;=100),"Valid","Invalid"),"Missing / text")</x:f>
        <x:v>Valid</x:v>
      </x:c>
    </x:row>
    <x:row r="46" ht="20" customHeight="1">
      <x:c r="A46" s="3"/>
      <x:c r="B46" s="3"/>
      <x:c r="C46" s="41"/>
      <x:c r="D46" s="41" t="str">
        <x:v>Bear</x:v>
      </x:c>
      <x:c r="E46" s="50" t="n">
        <x:v>1.5</x:v>
      </x:c>
      <x:c r="F46" s="50" t="n">
        <x:v>1.25</x:v>
      </x:c>
      <x:c r="G46" s="3"/>
      <x:c r="H46" s="3"/>
      <x:c r="I46" s="3"/>
      <x:c r="J46" s="3"/>
    </x:row>
    <x:row r="47" ht="20" customHeight="1">
      <x:c r="A47" s="3"/>
      <x:c r="B47" s="3"/>
      <x:c r="C47" s="41"/>
      <x:c r="D47" s="41" t="str">
        <x:v>Base</x:v>
      </x:c>
      <x:c r="E47" s="50" t="n">
        <x:v>2.5</x:v>
      </x:c>
      <x:c r="F47" s="50" t="n">
        <x:v>2</x:v>
      </x:c>
      <x:c r="G47" s="3"/>
      <x:c r="H47" s="3"/>
      <x:c r="I47" s="3"/>
      <x:c r="J47" s="3"/>
    </x:row>
    <x:row r="48" ht="20" customHeight="1">
      <x:c r="A48" s="3"/>
      <x:c r="B48" s="3"/>
      <x:c r="C48" s="41"/>
      <x:c r="D48" s="41" t="str">
        <x:v>Bull</x:v>
      </x:c>
      <x:c r="E48" s="50" t="n">
        <x:v>3.5</x:v>
      </x:c>
      <x:c r="F48" s="50" t="n">
        <x:v>3</x:v>
      </x:c>
      <x:c r="G48" s="3"/>
      <x:c r="H48" s="3"/>
      <x:c r="I48" s="3"/>
      <x:c r="J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20" customHeight="1">
      <x:c r="A50" s="3"/>
      <x:c r="B50" s="3"/>
      <x:c r="C50" s="39" t="str">
        <x:v>Discount rate (WACC)</x:v>
      </x:c>
      <x:c r="D50" s="39" t="str">
        <x:v>Active</x:v>
      </x:c>
      <x:c r="E50" s="40" t="n">
        <x:f>IF($E$6="Valid case",IF(CHOOSE($E$5,ISNUMBER(E51),ISNUMBER(E52),ISNUMBER(E53)),CHOOSE($E$5,E51,E52,E53),"n.a."),"n.a.")</x:f>
        <x:v>0.125</x:v>
      </x:c>
      <x:c r="F50" s="40" t="n">
        <x:f>IF($E$6="Valid case",IF(CHOOSE($E$5,ISNUMBER(F51),ISNUMBER(F52),ISNUMBER(F53)),CHOOSE($E$5,F51,F52,F53),"n.a."),"n.a.")</x:f>
        <x:v>0.125</x:v>
      </x:c>
      <x:c r="G50" s="3"/>
      <x:c r="H50" s="3" t="str">
        <x:v>Above perpetual growth and at most 60%.</x:v>
      </x:c>
      <x:c r="I50" s="3" t="str">
        <x:f>IF(AND(ISNUMBER(E50),ISNUMBER(E55)),IF(AND(E50&gt;E55,E50&lt;=0.6),"Valid","Invalid"),"Missing / text")</x:f>
        <x:v>Valid</x:v>
      </x:c>
      <x:c r="J50" s="3" t="str">
        <x:f>IF(AND(ISNUMBER(F50),ISNUMBER(F55)),IF(AND(F50&gt;F55,F50&lt;=0.6),"Valid","Invalid"),"Missing / text")</x:f>
        <x:v>Valid</x:v>
      </x:c>
    </x:row>
    <x:row r="51" ht="20" customHeight="1">
      <x:c r="A51" s="3"/>
      <x:c r="B51" s="3"/>
      <x:c r="C51" s="41"/>
      <x:c r="D51" s="41" t="str">
        <x:v>Bear</x:v>
      </x:c>
      <x:c r="E51" s="44" t="n">
        <x:v>0.16</x:v>
      </x:c>
      <x:c r="F51" s="44" t="n">
        <x:v>0.16</x:v>
      </x:c>
      <x:c r="G51" s="3"/>
      <x:c r="H51" s="3"/>
      <x:c r="I51" s="3"/>
      <x:c r="J51" s="3"/>
    </x:row>
    <x:row r="52" ht="20" customHeight="1">
      <x:c r="A52" s="3"/>
      <x:c r="B52" s="3"/>
      <x:c r="C52" s="41"/>
      <x:c r="D52" s="41" t="str">
        <x:v>Base</x:v>
      </x:c>
      <x:c r="E52" s="44" t="n">
        <x:v>0.125</x:v>
      </x:c>
      <x:c r="F52" s="44" t="n">
        <x:v>0.125</x:v>
      </x:c>
      <x:c r="G52" s="3"/>
      <x:c r="H52" s="3"/>
      <x:c r="I52" s="3"/>
      <x:c r="J52" s="3"/>
    </x:row>
    <x:row r="53" ht="20" customHeight="1">
      <x:c r="A53" s="3"/>
      <x:c r="B53" s="3"/>
      <x:c r="C53" s="41"/>
      <x:c r="D53" s="41" t="str">
        <x:v>Bull</x:v>
      </x:c>
      <x:c r="E53" s="44" t="n">
        <x:v>0.105</x:v>
      </x:c>
      <x:c r="F53" s="44" t="n">
        <x:v>0.105</x:v>
      </x:c>
      <x:c r="G53" s="3"/>
      <x:c r="H53" s="3"/>
      <x:c r="I53" s="3"/>
      <x:c r="J53" s="3"/>
    </x:row>
    <x:row r="54" ht="20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  <x:row r="55" ht="20" customHeight="1">
      <x:c r="A55" s="3"/>
      <x:c r="B55" s="3"/>
      <x:c r="C55" s="39" t="str">
        <x:v>Perpetual growth</x:v>
      </x:c>
      <x:c r="D55" s="39" t="str">
        <x:v>Active</x:v>
      </x:c>
      <x:c r="E55" s="40" t="n">
        <x:f>IF($E$6="Valid case",IF(CHOOSE($E$5,ISNUMBER(E56),ISNUMBER(E57),ISNUMBER(E58)),CHOOSE($E$5,E56,E57,E58),"n.a."),"n.a.")</x:f>
        <x:v>0.03</x:v>
      </x:c>
      <x:c r="F55" s="40" t="n">
        <x:f>IF($E$6="Valid case",IF(CHOOSE($E$5,ISNUMBER(F56),ISNUMBER(F57),ISNUMBER(F58)),CHOOSE($E$5,F56,F57,F58),"n.a."),"n.a.")</x:f>
        <x:v>0.03</x:v>
      </x:c>
      <x:c r="G55" s="3"/>
      <x:c r="H55" s="3" t="str">
        <x:v>At least 0%; below both WACC and terminal ROIC.</x:v>
      </x:c>
      <x:c r="I55" s="3" t="str">
        <x:f>IF(AND(ISNUMBER(E55),ISNUMBER(E50),ISNUMBER(E60)),IF(AND(E55&gt;=0,E55&lt;E50,E55&lt;E60),"Valid","Invalid"),"Missing / text")</x:f>
        <x:v>Valid</x:v>
      </x:c>
      <x:c r="J55" s="3" t="str">
        <x:f>IF(AND(ISNUMBER(F55),ISNUMBER(F50),ISNUMBER(F60)),IF(AND(F55&gt;=0,F55&lt;F50,F55&lt;F60),"Valid","Invalid"),"Missing / text")</x:f>
        <x:v>Valid</x:v>
      </x:c>
    </x:row>
    <x:row r="56" ht="20" customHeight="1">
      <x:c r="A56" s="3"/>
      <x:c r="B56" s="3"/>
      <x:c r="C56" s="41"/>
      <x:c r="D56" s="41" t="str">
        <x:v>Bear</x:v>
      </x:c>
      <x:c r="E56" s="44" t="n">
        <x:v>0.025</x:v>
      </x:c>
      <x:c r="F56" s="44" t="n">
        <x:v>0.025</x:v>
      </x:c>
      <x:c r="G56" s="3"/>
      <x:c r="H56" s="3"/>
      <x:c r="I56" s="3"/>
      <x:c r="J56" s="3"/>
    </x:row>
    <x:row r="57" ht="20" customHeight="1">
      <x:c r="A57" s="3"/>
      <x:c r="B57" s="3"/>
      <x:c r="C57" s="41"/>
      <x:c r="D57" s="41" t="str">
        <x:v>Base</x:v>
      </x:c>
      <x:c r="E57" s="44" t="n">
        <x:v>0.03</x:v>
      </x:c>
      <x:c r="F57" s="44" t="n">
        <x:v>0.03</x:v>
      </x:c>
      <x:c r="G57" s="3"/>
      <x:c r="H57" s="3"/>
      <x:c r="I57" s="3"/>
      <x:c r="J57" s="3"/>
    </x:row>
    <x:row r="58" ht="20" customHeight="1">
      <x:c r="A58" s="3"/>
      <x:c r="B58" s="3"/>
      <x:c r="C58" s="41"/>
      <x:c r="D58" s="41" t="str">
        <x:v>Bull</x:v>
      </x:c>
      <x:c r="E58" s="44" t="n">
        <x:v>0.035</x:v>
      </x:c>
      <x:c r="F58" s="44" t="n">
        <x:v>0.035</x:v>
      </x:c>
      <x:c r="G58" s="3"/>
      <x:c r="H58" s="3"/>
      <x:c r="I58" s="3"/>
      <x:c r="J58" s="3"/>
    </x:row>
    <x:row r="59" ht="20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</x:row>
    <x:row r="60" ht="20" customHeight="1">
      <x:c r="A60" s="3"/>
      <x:c r="B60" s="3"/>
      <x:c r="C60" s="39" t="str">
        <x:v>Terminal ROIC</x:v>
      </x:c>
      <x:c r="D60" s="39" t="str">
        <x:v>Active</x:v>
      </x:c>
      <x:c r="E60" s="40" t="n">
        <x:f>IF($E$6="Valid case",IF(CHOOSE($E$5,ISNUMBER(E61),ISNUMBER(E62),ISNUMBER(E63)),CHOOSE($E$5,E61,E62,E63),"n.a."),"n.a.")</x:f>
        <x:v>0.2</x:v>
      </x:c>
      <x:c r="F60" s="40" t="n">
        <x:f>IF($E$6="Valid case",IF(CHOOSE($E$5,ISNUMBER(F61),ISNUMBER(F62),ISNUMBER(F63)),CHOOSE($E$5,F61,F62,F63),"n.a."),"n.a.")</x:f>
        <x:v>0.2</x:v>
      </x:c>
      <x:c r="G60" s="3"/>
      <x:c r="H60" s="3" t="str">
        <x:v>Above perpetual growth and at most 100%. See Sources S19.</x:v>
      </x:c>
      <x:c r="I60" s="3" t="str">
        <x:f>IF(AND(ISNUMBER(E60),ISNUMBER(E55)),IF(AND(E60&gt;E55,E60&lt;=1),"Valid","Invalid"),"Missing / text")</x:f>
        <x:v>Valid</x:v>
      </x:c>
      <x:c r="J60" s="3" t="str">
        <x:f>IF(AND(ISNUMBER(F60),ISNUMBER(F55)),IF(AND(F60&gt;F55,F60&lt;=1),"Valid","Invalid"),"Missing / text")</x:f>
        <x:v>Valid</x:v>
      </x:c>
    </x:row>
    <x:row r="61" ht="20" customHeight="1">
      <x:c r="A61" s="3"/>
      <x:c r="B61" s="3"/>
      <x:c r="C61" s="41"/>
      <x:c r="D61" s="41" t="str">
        <x:v>Bear</x:v>
      </x:c>
      <x:c r="E61" s="44" t="n">
        <x:v>0.12</x:v>
      </x:c>
      <x:c r="F61" s="44" t="n">
        <x:v>0.12</x:v>
      </x:c>
      <x:c r="G61" s="3"/>
      <x:c r="H61" s="3"/>
      <x:c r="I61" s="3"/>
      <x:c r="J61" s="3"/>
    </x:row>
    <x:row r="62" ht="20" customHeight="1">
      <x:c r="A62" s="3"/>
      <x:c r="B62" s="3"/>
      <x:c r="C62" s="41"/>
      <x:c r="D62" s="41" t="str">
        <x:v>Base</x:v>
      </x:c>
      <x:c r="E62" s="44" t="n">
        <x:v>0.2</x:v>
      </x:c>
      <x:c r="F62" s="44" t="n">
        <x:v>0.2</x:v>
      </x:c>
      <x:c r="G62" s="3"/>
      <x:c r="H62" s="3"/>
      <x:c r="I62" s="3"/>
      <x:c r="J62" s="3"/>
    </x:row>
    <x:row r="63" ht="20" customHeight="1">
      <x:c r="A63" s="3"/>
      <x:c r="B63" s="3"/>
      <x:c r="C63" s="41"/>
      <x:c r="D63" s="41" t="str">
        <x:v>Bull</x:v>
      </x:c>
      <x:c r="E63" s="44" t="n">
        <x:v>0.25</x:v>
      </x:c>
      <x:c r="F63" s="44" t="n">
        <x:v>0.25</x:v>
      </x:c>
      <x:c r="G63" s="3"/>
      <x:c r="H63" s="3"/>
      <x:c r="I63" s="3"/>
      <x:c r="J63" s="3"/>
    </x:row>
    <x:row r="64" ht="20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</x:row>
    <x:row r="65" ht="20" customHeight="1">
      <x:c r="A65" s="3"/>
      <x:c r="B65" s="3"/>
      <x:c r="C65" s="33" t="str">
        <x:v>Remaining-2026 FCFF</x:v>
      </x:c>
      <x:c r="D65" s="33" t="str">
        <x:v>Active</x:v>
      </x:c>
      <x:c r="E65" s="34" t="n">
        <x:f>IF($E$6="Valid case",IF(CHOOSE($E$5,ISNUMBER(E66),ISNUMBER(E67),ISNUMBER(E68)),CHOOSE($E$5,E66,E67,E68),"n.a."),"n.a.")</x:f>
        <x:v>-3</x:v>
      </x:c>
      <x:c r="F65" s="34" t="n">
        <x:f>IF($E$6="Valid case",IF(CHOOSE($E$5,ISNUMBER(F66),ISNUMBER(F67),ISNUMBER(F68)),CHOOSE($E$5,F66,F67,F68),"n.a."),"n.a.")</x:f>
        <x:v>-8</x:v>
      </x:c>
      <x:c r="G65" s="3"/>
      <x:c r="H65" s="3" t="str">
        <x:v>Only future 2026 cash flow, paid Dec 31. Within ±$10,000B.</x:v>
      </x:c>
      <x:c r="I65" s="3" t="str">
        <x:f>IF(AND(ISNUMBER(E65)),IF(AND(E65&gt;=-10000,E65&lt;=10000),"Valid","Invalid"),"Missing / text")</x:f>
        <x:v>Valid</x:v>
      </x:c>
      <x:c r="J65" s="3" t="str">
        <x:f>IF(AND(ISNUMBER(F65)),IF(AND(F65&gt;=-10000,F65&lt;=10000),"Valid","Invalid"),"Missing / text")</x:f>
        <x:v>Valid</x:v>
      </x:c>
    </x:row>
    <x:row r="66" ht="20" customHeight="1">
      <x:c r="A66" s="3"/>
      <x:c r="B66" s="3"/>
      <x:c r="C66" s="3"/>
      <x:c r="D66" s="3" t="str">
        <x:v>Bear</x:v>
      </x:c>
      <x:c r="E66" s="36" t="n">
        <x:v>-6</x:v>
      </x:c>
      <x:c r="F66" s="36" t="n">
        <x:v>-15</x:v>
      </x:c>
      <x:c r="G66" s="3"/>
      <x:c r="H66" s="3"/>
      <x:c r="I66" s="3"/>
      <x:c r="J66" s="3"/>
    </x:row>
    <x:row r="67" ht="20" customHeight="1">
      <x:c r="A67" s="3"/>
      <x:c r="B67" s="3"/>
      <x:c r="C67" s="3"/>
      <x:c r="D67" s="3" t="str">
        <x:v>Base</x:v>
      </x:c>
      <x:c r="E67" s="36" t="n">
        <x:v>-3</x:v>
      </x:c>
      <x:c r="F67" s="36" t="n">
        <x:v>-8</x:v>
      </x:c>
      <x:c r="G67" s="3"/>
      <x:c r="H67" s="3"/>
      <x:c r="I67" s="3"/>
      <x:c r="J67" s="3"/>
    </x:row>
    <x:row r="68" ht="20" customHeight="1">
      <x:c r="A68" s="3"/>
      <x:c r="B68" s="3"/>
      <x:c r="C68" s="3"/>
      <x:c r="D68" s="3" t="str">
        <x:v>Bull</x:v>
      </x:c>
      <x:c r="E68" s="36" t="n">
        <x:v>-1</x:v>
      </x:c>
      <x:c r="F68" s="36" t="n">
        <x:v>-4</x:v>
      </x:c>
      <x:c r="G68" s="3"/>
      <x:c r="H68" s="3"/>
      <x:c r="I68" s="3"/>
      <x:c r="J68" s="3"/>
    </x:row>
    <x:row r="69" ht="20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</x:row>
    <x:row r="70" ht="20" customHeight="1">
      <x:c r="A70" s="3"/>
      <x:c r="B70" s="3"/>
      <x:c r="C70" s="39" t="str">
        <x:v>Tax on positive EBIT</x:v>
      </x:c>
      <x:c r="D70" s="39" t="str">
        <x:v>Active</x:v>
      </x:c>
      <x:c r="E70" s="40" t="n">
        <x:f>IF($E$6="Valid case",IF(CHOOSE($E$5,ISNUMBER(E71),ISNUMBER(E72),ISNUMBER(E73)),CHOOSE($E$5,E71,E72,E73),"n.a."),"n.a.")</x:f>
        <x:v>0.25</x:v>
      </x:c>
      <x:c r="F70" s="40" t="n">
        <x:f>IF($E$6="Valid case",IF(CHOOSE($E$5,ISNUMBER(F71),ISNUMBER(F72),ISNUMBER(F73)),CHOOSE($E$5,F71,F72,F73),"n.a."),"n.a.")</x:f>
        <x:v>0.25</x:v>
      </x:c>
      <x:c r="G70" s="3"/>
      <x:c r="H70" s="3" t="str">
        <x:v>0% to below 100%. No NOL tax benefit is modeled.</x:v>
      </x:c>
      <x:c r="I70" s="3" t="str">
        <x:f>IF(AND(ISNUMBER(E70)),IF(AND(E70&gt;=0,E70&lt;1),"Valid","Invalid"),"Missing / text")</x:f>
        <x:v>Valid</x:v>
      </x:c>
      <x:c r="J70" s="3" t="str">
        <x:f>IF(AND(ISNUMBER(F70)),IF(AND(F70&gt;=0,F70&lt;1),"Valid","Invalid"),"Missing / text")</x:f>
        <x:v>Valid</x:v>
      </x:c>
    </x:row>
    <x:row r="71" ht="20" customHeight="1">
      <x:c r="A71" s="3"/>
      <x:c r="B71" s="3"/>
      <x:c r="C71" s="41"/>
      <x:c r="D71" s="41" t="str">
        <x:v>Bear</x:v>
      </x:c>
      <x:c r="E71" s="44" t="n">
        <x:v>0.25</x:v>
      </x:c>
      <x:c r="F71" s="44" t="n">
        <x:v>0.25</x:v>
      </x:c>
      <x:c r="G71" s="3"/>
      <x:c r="H71" s="3"/>
      <x:c r="I71" s="3"/>
      <x:c r="J71" s="3"/>
    </x:row>
    <x:row r="72" ht="20" customHeight="1">
      <x:c r="A72" s="3"/>
      <x:c r="B72" s="3"/>
      <x:c r="C72" s="41"/>
      <x:c r="D72" s="41" t="str">
        <x:v>Base</x:v>
      </x:c>
      <x:c r="E72" s="44" t="n">
        <x:v>0.25</x:v>
      </x:c>
      <x:c r="F72" s="44" t="n">
        <x:v>0.25</x:v>
      </x:c>
      <x:c r="G72" s="3"/>
      <x:c r="H72" s="3"/>
      <x:c r="I72" s="3"/>
      <x:c r="J72" s="3"/>
    </x:row>
    <x:row r="73" ht="20" customHeight="1">
      <x:c r="A73" s="3"/>
      <x:c r="B73" s="3"/>
      <x:c r="C73" s="41"/>
      <x:c r="D73" s="41" t="str">
        <x:v>Bull</x:v>
      </x:c>
      <x:c r="E73" s="44" t="n">
        <x:v>0.25</x:v>
      </x:c>
      <x:c r="F73" s="44" t="n">
        <x:v>0.25</x:v>
      </x:c>
      <x:c r="G73" s="3"/>
      <x:c r="H73" s="3"/>
      <x:c r="I73" s="3"/>
      <x:c r="J73" s="3"/>
    </x:row>
    <x:row r="74" ht="20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</x:row>
    <x:row r="75" ht="24" customHeight="1">
      <x:c r="A75" s="3"/>
      <x:c r="B75" s="3"/>
      <x:c r="C75" s="25" t="str">
        <x:v>Active input validation</x:v>
      </x:c>
      <x:c r="D75" s="25"/>
      <x:c r="E75" s="25"/>
      <x:c r="F75" s="25"/>
      <x:c r="G75" s="3"/>
      <x:c r="H75" s="3"/>
      <x:c r="I75" s="3"/>
      <x:c r="J75" s="3"/>
    </x:row>
    <x:row r="76" ht="20" customHeight="1">
      <x:c r="A76" s="3"/>
      <x:c r="B76" s="3"/>
      <x:c r="C76" s="3" t="str">
        <x:v>All 13 inputs valid</x:v>
      </x:c>
      <x:c r="D76" s="3"/>
      <x:c r="E76" s="3" t="b">
        <x:f>AND($E$6="Valid case",I10="Valid",I15="Valid",I20="Valid",I25="Valid",I30="Valid",I35="Valid",I40="Valid",I45="Valid",I50="Valid",I55="Valid",I60="Valid",I65="Valid",I70="Valid")</x:f>
        <x:v>1</x:v>
      </x:c>
      <x:c r="F76" s="3" t="b">
        <x:f>AND($E$6="Valid case",J10="Valid",J15="Valid",J20="Valid",J25="Valid",J30="Valid",J35="Valid",J40="Valid",J45="Valid",J50="Valid",J55="Valid",J60="Valid",J65="Valid",J70="Valid")</x:f>
        <x:v>1</x:v>
      </x:c>
      <x:c r="G76" s="3"/>
      <x:c r="H76" s="3" t="str">
        <x:v>Invalid active inputs suppress that company’s operating valuation.</x:v>
      </x:c>
      <x:c r="I76" s="3"/>
      <x:c r="J76" s="3"/>
    </x:row>
    <x:row r="77" ht="20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</x:row>
    <x:row r="78" ht="20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</x:row>
    <x:row r="79" ht="20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</x:row>
    <x:row r="80" ht="24" customHeight="1">
      <x:c r="A80" s="3"/>
      <x:c r="B80" s="3"/>
      <x:c r="C80" s="25" t="str">
        <x:v>Revenue basis and accounting</x:v>
      </x:c>
      <x:c r="D80" s="25"/>
      <x:c r="E80" s="25"/>
      <x:c r="F80" s="25"/>
      <x:c r="G80" s="3"/>
      <x:c r="H80" s="3"/>
      <x:c r="I80" s="3"/>
      <x:c r="J80" s="3"/>
    </x:row>
    <x:row r="81" ht="20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</x:row>
    <x:row r="82" ht="20" customHeight="1">
      <x:c r="A82" s="3"/>
      <x:c r="B82" s="3"/>
      <x:c r="C82" s="3" t="str">
        <x:v>Anthropic FY2026 estimate</x:v>
      </x:c>
      <x:c r="D82" s="3"/>
      <x:c r="E82" s="3"/>
      <x:c r="F82" s="3"/>
      <x:c r="G82" s="3"/>
      <x:c r="H82" s="3" t="str">
        <x:v>Base preset: Q1 4.7 + Q2 11.6 + Q3 16.8 + Q4 assumed 20.16 = 53.26.</x:v>
      </x:c>
      <x:c r="I82" s="3"/>
      <x:c r="J82" s="3"/>
    </x:row>
    <x:row r="83" ht="20" customHeight="1">
      <x:c r="A83" s="3"/>
      <x:c r="B83" s="3"/>
      <x:c r="C83" s="3" t="str">
        <x:v>OpenAI FY2026 estimate</x:v>
      </x:c>
      <x:c r="D83" s="3"/>
      <x:c r="E83" s="3"/>
      <x:c r="F83" s="3"/>
      <x:c r="G83" s="3"/>
      <x:c r="H83" s="3" t="str">
        <x:v>Base preset $35B is illustrative. It is not a verified company forecast.</x:v>
      </x:c>
      <x:c r="I83" s="3"/>
      <x:c r="J83" s="3"/>
    </x:row>
    <x:row r="84" ht="20" customHeight="1">
      <x:c r="A84" s="3"/>
      <x:c r="B84" s="3"/>
      <x:c r="C84" s="3" t="str">
        <x:v>Comparability</x:v>
      </x:c>
      <x:c r="D84" s="3"/>
      <x:c r="E84" s="3"/>
      <x:c r="F84" s="3"/>
      <x:c r="G84" s="3"/>
      <x:c r="H84" s="3" t="str">
        <x:v>Revenue recognition differs. A presentation change must also adjust costs.</x:v>
      </x:c>
      <x:c r="I84" s="3"/>
      <x:c r="J84" s="3"/>
    </x:row>
    <x:row r="85" ht="20" customHeight="1">
      <x:c r="A85" s="3"/>
      <x:c r="B85" s="3"/>
      <x:c r="C85" s="3" t="str">
        <x:v>Investment convention</x:v>
      </x:c>
      <x:c r="D85" s="3"/>
      <x:c r="E85" s="3"/>
      <x:c r="F85" s="3"/>
      <x:c r="G85" s="3"/>
      <x:c r="H85" s="3" t="str">
        <x:v>Net reinvestment includes net capex and working capital. Do not add them again.</x:v>
      </x:c>
      <x:c r="I85" s="3"/>
      <x:c r="J85" s="3"/>
    </x:row>
    <x:row r="86" ht="20" customHeight="1">
      <x:c r="A86" s="3"/>
      <x:c r="B86" s="3"/>
      <x:c r="C86" s="3" t="str">
        <x:v>Source for reported quarters</x:v>
      </x:c>
      <x:c r="D86" s="3"/>
      <x:c r="E86" s="3"/>
      <x:c r="F86" s="3"/>
      <x:c r="G86" s="3"/>
      <x:c r="H86" s="51" t="str">
        <x:v>Reuters, October 14–15, 2026 (S18). Full URL is in Sources.</x:v>
      </x:c>
      <x:c r="I86" s="3"/>
      <x:c r="J86" s="3"/>
    </x:row>
    <x:row r="87" ht="20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</x:row>
    <x:row r="88" ht="20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</x:row>
  </x:sheetData>
  <x:conditionalFormatting sqref="I10:I10">
    <x:cfRule type="expression" dxfId="0" priority="1">
      <x:formula>I10&lt;&gt;"Valid"</x:formula>
    </x:cfRule>
  </x:conditionalFormatting>
  <x:conditionalFormatting sqref="E10:E10">
    <x:cfRule type="expression" dxfId="1" priority="2">
      <x:formula>$I$10&lt;&gt;"Valid"</x:formula>
    </x:cfRule>
  </x:conditionalFormatting>
  <x:conditionalFormatting sqref="E11:E11">
    <x:cfRule type="expression" dxfId="2" priority="3">
      <x:formula>AND($E$5=1,$I$10&lt;&gt;"Valid")</x:formula>
    </x:cfRule>
  </x:conditionalFormatting>
  <x:conditionalFormatting sqref="E12:E12">
    <x:cfRule type="expression" dxfId="3" priority="4">
      <x:formula>AND($E$5=2,$I$10&lt;&gt;"Valid")</x:formula>
    </x:cfRule>
  </x:conditionalFormatting>
  <x:conditionalFormatting sqref="E13:E13">
    <x:cfRule type="expression" dxfId="4" priority="5">
      <x:formula>AND($E$5=3,$I$10&lt;&gt;"Valid")</x:formula>
    </x:cfRule>
  </x:conditionalFormatting>
  <x:conditionalFormatting sqref="J10:J10">
    <x:cfRule type="expression" dxfId="5" priority="6">
      <x:formula>J10&lt;&gt;"Valid"</x:formula>
    </x:cfRule>
  </x:conditionalFormatting>
  <x:conditionalFormatting sqref="F10:F10">
    <x:cfRule type="expression" dxfId="6" priority="7">
      <x:formula>$J$10&lt;&gt;"Valid"</x:formula>
    </x:cfRule>
  </x:conditionalFormatting>
  <x:conditionalFormatting sqref="F11:F11">
    <x:cfRule type="expression" dxfId="7" priority="8">
      <x:formula>AND($E$5=1,$J$10&lt;&gt;"Valid")</x:formula>
    </x:cfRule>
  </x:conditionalFormatting>
  <x:conditionalFormatting sqref="F12:F12">
    <x:cfRule type="expression" dxfId="8" priority="9">
      <x:formula>AND($E$5=2,$J$10&lt;&gt;"Valid")</x:formula>
    </x:cfRule>
  </x:conditionalFormatting>
  <x:conditionalFormatting sqref="F13:F13">
    <x:cfRule type="expression" dxfId="9" priority="10">
      <x:formula>AND($E$5=3,$J$10&lt;&gt;"Valid")</x:formula>
    </x:cfRule>
  </x:conditionalFormatting>
  <x:conditionalFormatting sqref="I15:I15">
    <x:cfRule type="expression" dxfId="10" priority="11">
      <x:formula>I15&lt;&gt;"Valid"</x:formula>
    </x:cfRule>
  </x:conditionalFormatting>
  <x:conditionalFormatting sqref="E15:E15">
    <x:cfRule type="expression" dxfId="11" priority="12">
      <x:formula>$I$15&lt;&gt;"Valid"</x:formula>
    </x:cfRule>
  </x:conditionalFormatting>
  <x:conditionalFormatting sqref="E16:E16">
    <x:cfRule type="expression" dxfId="12" priority="13">
      <x:formula>AND($E$5=1,$I$15&lt;&gt;"Valid")</x:formula>
    </x:cfRule>
  </x:conditionalFormatting>
  <x:conditionalFormatting sqref="E17:E17">
    <x:cfRule type="expression" dxfId="13" priority="14">
      <x:formula>AND($E$5=2,$I$15&lt;&gt;"Valid")</x:formula>
    </x:cfRule>
  </x:conditionalFormatting>
  <x:conditionalFormatting sqref="E18:E18">
    <x:cfRule type="expression" dxfId="14" priority="15">
      <x:formula>AND($E$5=3,$I$15&lt;&gt;"Valid")</x:formula>
    </x:cfRule>
  </x:conditionalFormatting>
  <x:conditionalFormatting sqref="J15:J15">
    <x:cfRule type="expression" dxfId="15" priority="16">
      <x:formula>J15&lt;&gt;"Valid"</x:formula>
    </x:cfRule>
  </x:conditionalFormatting>
  <x:conditionalFormatting sqref="F15:F15">
    <x:cfRule type="expression" dxfId="16" priority="17">
      <x:formula>$J$15&lt;&gt;"Valid"</x:formula>
    </x:cfRule>
  </x:conditionalFormatting>
  <x:conditionalFormatting sqref="F16:F16">
    <x:cfRule type="expression" dxfId="17" priority="18">
      <x:formula>AND($E$5=1,$J$15&lt;&gt;"Valid")</x:formula>
    </x:cfRule>
  </x:conditionalFormatting>
  <x:conditionalFormatting sqref="F17:F17">
    <x:cfRule type="expression" dxfId="18" priority="19">
      <x:formula>AND($E$5=2,$J$15&lt;&gt;"Valid")</x:formula>
    </x:cfRule>
  </x:conditionalFormatting>
  <x:conditionalFormatting sqref="F18:F18">
    <x:cfRule type="expression" dxfId="19" priority="20">
      <x:formula>AND($E$5=3,$J$15&lt;&gt;"Valid")</x:formula>
    </x:cfRule>
  </x:conditionalFormatting>
  <x:conditionalFormatting sqref="I20:I20">
    <x:cfRule type="expression" dxfId="20" priority="21">
      <x:formula>I20&lt;&gt;"Valid"</x:formula>
    </x:cfRule>
  </x:conditionalFormatting>
  <x:conditionalFormatting sqref="E20:E20">
    <x:cfRule type="expression" dxfId="21" priority="22">
      <x:formula>$I$20&lt;&gt;"Valid"</x:formula>
    </x:cfRule>
  </x:conditionalFormatting>
  <x:conditionalFormatting sqref="E21:E21">
    <x:cfRule type="expression" dxfId="22" priority="23">
      <x:formula>AND($E$5=1,$I$20&lt;&gt;"Valid")</x:formula>
    </x:cfRule>
  </x:conditionalFormatting>
  <x:conditionalFormatting sqref="E22:E22">
    <x:cfRule type="expression" dxfId="23" priority="24">
      <x:formula>AND($E$5=2,$I$20&lt;&gt;"Valid")</x:formula>
    </x:cfRule>
  </x:conditionalFormatting>
  <x:conditionalFormatting sqref="E23:E23">
    <x:cfRule type="expression" dxfId="24" priority="25">
      <x:formula>AND($E$5=3,$I$20&lt;&gt;"Valid")</x:formula>
    </x:cfRule>
  </x:conditionalFormatting>
  <x:conditionalFormatting sqref="J20:J20">
    <x:cfRule type="expression" dxfId="25" priority="26">
      <x:formula>J20&lt;&gt;"Valid"</x:formula>
    </x:cfRule>
  </x:conditionalFormatting>
  <x:conditionalFormatting sqref="F20:F20">
    <x:cfRule type="expression" dxfId="26" priority="27">
      <x:formula>$J$20&lt;&gt;"Valid"</x:formula>
    </x:cfRule>
  </x:conditionalFormatting>
  <x:conditionalFormatting sqref="F21:F21">
    <x:cfRule type="expression" dxfId="27" priority="28">
      <x:formula>AND($E$5=1,$J$20&lt;&gt;"Valid")</x:formula>
    </x:cfRule>
  </x:conditionalFormatting>
  <x:conditionalFormatting sqref="F22:F22">
    <x:cfRule type="expression" dxfId="28" priority="29">
      <x:formula>AND($E$5=2,$J$20&lt;&gt;"Valid")</x:formula>
    </x:cfRule>
  </x:conditionalFormatting>
  <x:conditionalFormatting sqref="F23:F23">
    <x:cfRule type="expression" dxfId="29" priority="30">
      <x:formula>AND($E$5=3,$J$20&lt;&gt;"Valid")</x:formula>
    </x:cfRule>
  </x:conditionalFormatting>
  <x:conditionalFormatting sqref="I25:I25">
    <x:cfRule type="expression" dxfId="30" priority="31">
      <x:formula>I25&lt;&gt;"Valid"</x:formula>
    </x:cfRule>
  </x:conditionalFormatting>
  <x:conditionalFormatting sqref="E25:E25">
    <x:cfRule type="expression" dxfId="31" priority="32">
      <x:formula>$I$25&lt;&gt;"Valid"</x:formula>
    </x:cfRule>
  </x:conditionalFormatting>
  <x:conditionalFormatting sqref="E26:E26">
    <x:cfRule type="expression" dxfId="32" priority="33">
      <x:formula>AND($E$5=1,$I$25&lt;&gt;"Valid")</x:formula>
    </x:cfRule>
  </x:conditionalFormatting>
  <x:conditionalFormatting sqref="E27:E27">
    <x:cfRule type="expression" dxfId="33" priority="34">
      <x:formula>AND($E$5=2,$I$25&lt;&gt;"Valid")</x:formula>
    </x:cfRule>
  </x:conditionalFormatting>
  <x:conditionalFormatting sqref="E28:E28">
    <x:cfRule type="expression" dxfId="34" priority="35">
      <x:formula>AND($E$5=3,$I$25&lt;&gt;"Valid")</x:formula>
    </x:cfRule>
  </x:conditionalFormatting>
  <x:conditionalFormatting sqref="J25:J25">
    <x:cfRule type="expression" dxfId="35" priority="36">
      <x:formula>J25&lt;&gt;"Valid"</x:formula>
    </x:cfRule>
  </x:conditionalFormatting>
  <x:conditionalFormatting sqref="F25:F25">
    <x:cfRule type="expression" dxfId="36" priority="37">
      <x:formula>$J$25&lt;&gt;"Valid"</x:formula>
    </x:cfRule>
  </x:conditionalFormatting>
  <x:conditionalFormatting sqref="F26:F26">
    <x:cfRule type="expression" dxfId="37" priority="38">
      <x:formula>AND($E$5=1,$J$25&lt;&gt;"Valid")</x:formula>
    </x:cfRule>
  </x:conditionalFormatting>
  <x:conditionalFormatting sqref="F27:F27">
    <x:cfRule type="expression" dxfId="38" priority="39">
      <x:formula>AND($E$5=2,$J$25&lt;&gt;"Valid")</x:formula>
    </x:cfRule>
  </x:conditionalFormatting>
  <x:conditionalFormatting sqref="F28:F28">
    <x:cfRule type="expression" dxfId="39" priority="40">
      <x:formula>AND($E$5=3,$J$25&lt;&gt;"Valid")</x:formula>
    </x:cfRule>
  </x:conditionalFormatting>
  <x:conditionalFormatting sqref="I30:I30">
    <x:cfRule type="expression" dxfId="40" priority="41">
      <x:formula>I30&lt;&gt;"Valid"</x:formula>
    </x:cfRule>
  </x:conditionalFormatting>
  <x:conditionalFormatting sqref="E30:E30">
    <x:cfRule type="expression" dxfId="41" priority="42">
      <x:formula>$I$30&lt;&gt;"Valid"</x:formula>
    </x:cfRule>
  </x:conditionalFormatting>
  <x:conditionalFormatting sqref="E31:E31">
    <x:cfRule type="expression" dxfId="42" priority="43">
      <x:formula>AND($E$5=1,$I$30&lt;&gt;"Valid")</x:formula>
    </x:cfRule>
  </x:conditionalFormatting>
  <x:conditionalFormatting sqref="E32:E32">
    <x:cfRule type="expression" dxfId="43" priority="44">
      <x:formula>AND($E$5=2,$I$30&lt;&gt;"Valid")</x:formula>
    </x:cfRule>
  </x:conditionalFormatting>
  <x:conditionalFormatting sqref="E33:E33">
    <x:cfRule type="expression" dxfId="44" priority="45">
      <x:formula>AND($E$5=3,$I$30&lt;&gt;"Valid")</x:formula>
    </x:cfRule>
  </x:conditionalFormatting>
  <x:conditionalFormatting sqref="J30:J30">
    <x:cfRule type="expression" dxfId="45" priority="46">
      <x:formula>J30&lt;&gt;"Valid"</x:formula>
    </x:cfRule>
  </x:conditionalFormatting>
  <x:conditionalFormatting sqref="F30:F30">
    <x:cfRule type="expression" dxfId="46" priority="47">
      <x:formula>$J$30&lt;&gt;"Valid"</x:formula>
    </x:cfRule>
  </x:conditionalFormatting>
  <x:conditionalFormatting sqref="F31:F31">
    <x:cfRule type="expression" dxfId="47" priority="48">
      <x:formula>AND($E$5=1,$J$30&lt;&gt;"Valid")</x:formula>
    </x:cfRule>
  </x:conditionalFormatting>
  <x:conditionalFormatting sqref="F32:F32">
    <x:cfRule type="expression" dxfId="48" priority="49">
      <x:formula>AND($E$5=2,$J$30&lt;&gt;"Valid")</x:formula>
    </x:cfRule>
  </x:conditionalFormatting>
  <x:conditionalFormatting sqref="F33:F33">
    <x:cfRule type="expression" dxfId="49" priority="50">
      <x:formula>AND($E$5=3,$J$30&lt;&gt;"Valid")</x:formula>
    </x:cfRule>
  </x:conditionalFormatting>
  <x:conditionalFormatting sqref="I35:I35">
    <x:cfRule type="expression" dxfId="50" priority="51">
      <x:formula>I35&lt;&gt;"Valid"</x:formula>
    </x:cfRule>
  </x:conditionalFormatting>
  <x:conditionalFormatting sqref="E35:E35">
    <x:cfRule type="expression" dxfId="51" priority="52">
      <x:formula>$I$35&lt;&gt;"Valid"</x:formula>
    </x:cfRule>
  </x:conditionalFormatting>
  <x:conditionalFormatting sqref="E36:E36">
    <x:cfRule type="expression" dxfId="52" priority="53">
      <x:formula>AND($E$5=1,$I$35&lt;&gt;"Valid")</x:formula>
    </x:cfRule>
  </x:conditionalFormatting>
  <x:conditionalFormatting sqref="E37:E37">
    <x:cfRule type="expression" dxfId="53" priority="54">
      <x:formula>AND($E$5=2,$I$35&lt;&gt;"Valid")</x:formula>
    </x:cfRule>
  </x:conditionalFormatting>
  <x:conditionalFormatting sqref="E38:E38">
    <x:cfRule type="expression" dxfId="54" priority="55">
      <x:formula>AND($E$5=3,$I$35&lt;&gt;"Valid")</x:formula>
    </x:cfRule>
  </x:conditionalFormatting>
  <x:conditionalFormatting sqref="J35:J35">
    <x:cfRule type="expression" dxfId="55" priority="56">
      <x:formula>J35&lt;&gt;"Valid"</x:formula>
    </x:cfRule>
  </x:conditionalFormatting>
  <x:conditionalFormatting sqref="F35:F35">
    <x:cfRule type="expression" dxfId="56" priority="57">
      <x:formula>$J$35&lt;&gt;"Valid"</x:formula>
    </x:cfRule>
  </x:conditionalFormatting>
  <x:conditionalFormatting sqref="F36:F36">
    <x:cfRule type="expression" dxfId="57" priority="58">
      <x:formula>AND($E$5=1,$J$35&lt;&gt;"Valid")</x:formula>
    </x:cfRule>
  </x:conditionalFormatting>
  <x:conditionalFormatting sqref="F37:F37">
    <x:cfRule type="expression" dxfId="58" priority="59">
      <x:formula>AND($E$5=2,$J$35&lt;&gt;"Valid")</x:formula>
    </x:cfRule>
  </x:conditionalFormatting>
  <x:conditionalFormatting sqref="F38:F38">
    <x:cfRule type="expression" dxfId="59" priority="60">
      <x:formula>AND($E$5=3,$J$35&lt;&gt;"Valid")</x:formula>
    </x:cfRule>
  </x:conditionalFormatting>
  <x:conditionalFormatting sqref="I40:I40">
    <x:cfRule type="expression" dxfId="60" priority="61">
      <x:formula>I40&lt;&gt;"Valid"</x:formula>
    </x:cfRule>
  </x:conditionalFormatting>
  <x:conditionalFormatting sqref="E40:E40">
    <x:cfRule type="expression" dxfId="61" priority="62">
      <x:formula>$I$40&lt;&gt;"Valid"</x:formula>
    </x:cfRule>
  </x:conditionalFormatting>
  <x:conditionalFormatting sqref="E41:E41">
    <x:cfRule type="expression" dxfId="62" priority="63">
      <x:formula>AND($E$5=1,$I$40&lt;&gt;"Valid")</x:formula>
    </x:cfRule>
  </x:conditionalFormatting>
  <x:conditionalFormatting sqref="E42:E42">
    <x:cfRule type="expression" dxfId="63" priority="64">
      <x:formula>AND($E$5=2,$I$40&lt;&gt;"Valid")</x:formula>
    </x:cfRule>
  </x:conditionalFormatting>
  <x:conditionalFormatting sqref="E43:E43">
    <x:cfRule type="expression" dxfId="64" priority="65">
      <x:formula>AND($E$5=3,$I$40&lt;&gt;"Valid")</x:formula>
    </x:cfRule>
  </x:conditionalFormatting>
  <x:conditionalFormatting sqref="J40:J40">
    <x:cfRule type="expression" dxfId="65" priority="66">
      <x:formula>J40&lt;&gt;"Valid"</x:formula>
    </x:cfRule>
  </x:conditionalFormatting>
  <x:conditionalFormatting sqref="F40:F40">
    <x:cfRule type="expression" dxfId="66" priority="67">
      <x:formula>$J$40&lt;&gt;"Valid"</x:formula>
    </x:cfRule>
  </x:conditionalFormatting>
  <x:conditionalFormatting sqref="F41:F41">
    <x:cfRule type="expression" dxfId="67" priority="68">
      <x:formula>AND($E$5=1,$J$40&lt;&gt;"Valid")</x:formula>
    </x:cfRule>
  </x:conditionalFormatting>
  <x:conditionalFormatting sqref="F42:F42">
    <x:cfRule type="expression" dxfId="68" priority="69">
      <x:formula>AND($E$5=2,$J$40&lt;&gt;"Valid")</x:formula>
    </x:cfRule>
  </x:conditionalFormatting>
  <x:conditionalFormatting sqref="F43:F43">
    <x:cfRule type="expression" dxfId="69" priority="70">
      <x:formula>AND($E$5=3,$J$40&lt;&gt;"Valid")</x:formula>
    </x:cfRule>
  </x:conditionalFormatting>
  <x:conditionalFormatting sqref="I45:I45">
    <x:cfRule type="expression" dxfId="70" priority="71">
      <x:formula>I45&lt;&gt;"Valid"</x:formula>
    </x:cfRule>
  </x:conditionalFormatting>
  <x:conditionalFormatting sqref="E45:E45">
    <x:cfRule type="expression" dxfId="71" priority="72">
      <x:formula>$I$45&lt;&gt;"Valid"</x:formula>
    </x:cfRule>
  </x:conditionalFormatting>
  <x:conditionalFormatting sqref="E46:E46">
    <x:cfRule type="expression" dxfId="72" priority="73">
      <x:formula>AND($E$5=1,$I$45&lt;&gt;"Valid")</x:formula>
    </x:cfRule>
  </x:conditionalFormatting>
  <x:conditionalFormatting sqref="E47:E47">
    <x:cfRule type="expression" dxfId="73" priority="74">
      <x:formula>AND($E$5=2,$I$45&lt;&gt;"Valid")</x:formula>
    </x:cfRule>
  </x:conditionalFormatting>
  <x:conditionalFormatting sqref="E48:E48">
    <x:cfRule type="expression" dxfId="74" priority="75">
      <x:formula>AND($E$5=3,$I$45&lt;&gt;"Valid")</x:formula>
    </x:cfRule>
  </x:conditionalFormatting>
  <x:conditionalFormatting sqref="J45:J45">
    <x:cfRule type="expression" dxfId="75" priority="76">
      <x:formula>J45&lt;&gt;"Valid"</x:formula>
    </x:cfRule>
  </x:conditionalFormatting>
  <x:conditionalFormatting sqref="F45:F45">
    <x:cfRule type="expression" dxfId="76" priority="77">
      <x:formula>$J$45&lt;&gt;"Valid"</x:formula>
    </x:cfRule>
  </x:conditionalFormatting>
  <x:conditionalFormatting sqref="F46:F46">
    <x:cfRule type="expression" dxfId="77" priority="78">
      <x:formula>AND($E$5=1,$J$45&lt;&gt;"Valid")</x:formula>
    </x:cfRule>
  </x:conditionalFormatting>
  <x:conditionalFormatting sqref="F47:F47">
    <x:cfRule type="expression" dxfId="78" priority="79">
      <x:formula>AND($E$5=2,$J$45&lt;&gt;"Valid")</x:formula>
    </x:cfRule>
  </x:conditionalFormatting>
  <x:conditionalFormatting sqref="F48:F48">
    <x:cfRule type="expression" dxfId="79" priority="80">
      <x:formula>AND($E$5=3,$J$45&lt;&gt;"Valid")</x:formula>
    </x:cfRule>
  </x:conditionalFormatting>
  <x:conditionalFormatting sqref="I50:I50">
    <x:cfRule type="expression" dxfId="80" priority="81">
      <x:formula>I50&lt;&gt;"Valid"</x:formula>
    </x:cfRule>
  </x:conditionalFormatting>
  <x:conditionalFormatting sqref="E50:E50">
    <x:cfRule type="expression" dxfId="81" priority="82">
      <x:formula>$I$50&lt;&gt;"Valid"</x:formula>
    </x:cfRule>
  </x:conditionalFormatting>
  <x:conditionalFormatting sqref="E51:E51">
    <x:cfRule type="expression" dxfId="82" priority="83">
      <x:formula>AND($E$5=1,$I$50&lt;&gt;"Valid")</x:formula>
    </x:cfRule>
  </x:conditionalFormatting>
  <x:conditionalFormatting sqref="E52:E52">
    <x:cfRule type="expression" dxfId="83" priority="84">
      <x:formula>AND($E$5=2,$I$50&lt;&gt;"Valid")</x:formula>
    </x:cfRule>
  </x:conditionalFormatting>
  <x:conditionalFormatting sqref="E53:E53">
    <x:cfRule type="expression" dxfId="84" priority="85">
      <x:formula>AND($E$5=3,$I$50&lt;&gt;"Valid")</x:formula>
    </x:cfRule>
  </x:conditionalFormatting>
  <x:conditionalFormatting sqref="J50:J50">
    <x:cfRule type="expression" dxfId="85" priority="86">
      <x:formula>J50&lt;&gt;"Valid"</x:formula>
    </x:cfRule>
  </x:conditionalFormatting>
  <x:conditionalFormatting sqref="F50:F50">
    <x:cfRule type="expression" dxfId="86" priority="87">
      <x:formula>$J$50&lt;&gt;"Valid"</x:formula>
    </x:cfRule>
  </x:conditionalFormatting>
  <x:conditionalFormatting sqref="F51:F51">
    <x:cfRule type="expression" dxfId="87" priority="88">
      <x:formula>AND($E$5=1,$J$50&lt;&gt;"Valid")</x:formula>
    </x:cfRule>
  </x:conditionalFormatting>
  <x:conditionalFormatting sqref="F52:F52">
    <x:cfRule type="expression" dxfId="88" priority="89">
      <x:formula>AND($E$5=2,$J$50&lt;&gt;"Valid")</x:formula>
    </x:cfRule>
  </x:conditionalFormatting>
  <x:conditionalFormatting sqref="F53:F53">
    <x:cfRule type="expression" dxfId="89" priority="90">
      <x:formula>AND($E$5=3,$J$50&lt;&gt;"Valid")</x:formula>
    </x:cfRule>
  </x:conditionalFormatting>
  <x:conditionalFormatting sqref="I55:I55">
    <x:cfRule type="expression" dxfId="90" priority="91">
      <x:formula>I55&lt;&gt;"Valid"</x:formula>
    </x:cfRule>
  </x:conditionalFormatting>
  <x:conditionalFormatting sqref="E55:E55">
    <x:cfRule type="expression" dxfId="91" priority="92">
      <x:formula>$I$55&lt;&gt;"Valid"</x:formula>
    </x:cfRule>
  </x:conditionalFormatting>
  <x:conditionalFormatting sqref="E56:E56">
    <x:cfRule type="expression" dxfId="92" priority="93">
      <x:formula>AND($E$5=1,$I$55&lt;&gt;"Valid")</x:formula>
    </x:cfRule>
  </x:conditionalFormatting>
  <x:conditionalFormatting sqref="E57:E57">
    <x:cfRule type="expression" dxfId="93" priority="94">
      <x:formula>AND($E$5=2,$I$55&lt;&gt;"Valid")</x:formula>
    </x:cfRule>
  </x:conditionalFormatting>
  <x:conditionalFormatting sqref="E58:E58">
    <x:cfRule type="expression" dxfId="94" priority="95">
      <x:formula>AND($E$5=3,$I$55&lt;&gt;"Valid")</x:formula>
    </x:cfRule>
  </x:conditionalFormatting>
  <x:conditionalFormatting sqref="J55:J55">
    <x:cfRule type="expression" dxfId="95" priority="96">
      <x:formula>J55&lt;&gt;"Valid"</x:formula>
    </x:cfRule>
  </x:conditionalFormatting>
  <x:conditionalFormatting sqref="F55:F55">
    <x:cfRule type="expression" dxfId="96" priority="97">
      <x:formula>$J$55&lt;&gt;"Valid"</x:formula>
    </x:cfRule>
  </x:conditionalFormatting>
  <x:conditionalFormatting sqref="F56:F56">
    <x:cfRule type="expression" dxfId="97" priority="98">
      <x:formula>AND($E$5=1,$J$55&lt;&gt;"Valid")</x:formula>
    </x:cfRule>
  </x:conditionalFormatting>
  <x:conditionalFormatting sqref="F57:F57">
    <x:cfRule type="expression" dxfId="98" priority="99">
      <x:formula>AND($E$5=2,$J$55&lt;&gt;"Valid")</x:formula>
    </x:cfRule>
  </x:conditionalFormatting>
  <x:conditionalFormatting sqref="F58:F58">
    <x:cfRule type="expression" dxfId="99" priority="100">
      <x:formula>AND($E$5=3,$J$55&lt;&gt;"Valid")</x:formula>
    </x:cfRule>
  </x:conditionalFormatting>
  <x:conditionalFormatting sqref="I60:I60">
    <x:cfRule type="expression" dxfId="100" priority="101">
      <x:formula>I60&lt;&gt;"Valid"</x:formula>
    </x:cfRule>
  </x:conditionalFormatting>
  <x:conditionalFormatting sqref="E60:E60">
    <x:cfRule type="expression" dxfId="101" priority="102">
      <x:formula>$I$60&lt;&gt;"Valid"</x:formula>
    </x:cfRule>
  </x:conditionalFormatting>
  <x:conditionalFormatting sqref="E61:E61">
    <x:cfRule type="expression" dxfId="102" priority="103">
      <x:formula>AND($E$5=1,$I$60&lt;&gt;"Valid")</x:formula>
    </x:cfRule>
  </x:conditionalFormatting>
  <x:conditionalFormatting sqref="E62:E62">
    <x:cfRule type="expression" dxfId="103" priority="104">
      <x:formula>AND($E$5=2,$I$60&lt;&gt;"Valid")</x:formula>
    </x:cfRule>
  </x:conditionalFormatting>
  <x:conditionalFormatting sqref="E63:E63">
    <x:cfRule type="expression" dxfId="104" priority="105">
      <x:formula>AND($E$5=3,$I$60&lt;&gt;"Valid")</x:formula>
    </x:cfRule>
  </x:conditionalFormatting>
  <x:conditionalFormatting sqref="J60:J60">
    <x:cfRule type="expression" dxfId="105" priority="106">
      <x:formula>J60&lt;&gt;"Valid"</x:formula>
    </x:cfRule>
  </x:conditionalFormatting>
  <x:conditionalFormatting sqref="F60:F60">
    <x:cfRule type="expression" dxfId="106" priority="107">
      <x:formula>$J$60&lt;&gt;"Valid"</x:formula>
    </x:cfRule>
  </x:conditionalFormatting>
  <x:conditionalFormatting sqref="F61:F61">
    <x:cfRule type="expression" dxfId="107" priority="108">
      <x:formula>AND($E$5=1,$J$60&lt;&gt;"Valid")</x:formula>
    </x:cfRule>
  </x:conditionalFormatting>
  <x:conditionalFormatting sqref="F62:F62">
    <x:cfRule type="expression" dxfId="108" priority="109">
      <x:formula>AND($E$5=2,$J$60&lt;&gt;"Valid")</x:formula>
    </x:cfRule>
  </x:conditionalFormatting>
  <x:conditionalFormatting sqref="F63:F63">
    <x:cfRule type="expression" dxfId="109" priority="110">
      <x:formula>AND($E$5=3,$J$60&lt;&gt;"Valid")</x:formula>
    </x:cfRule>
  </x:conditionalFormatting>
  <x:conditionalFormatting sqref="I65:I65">
    <x:cfRule type="expression" dxfId="110" priority="111">
      <x:formula>I65&lt;&gt;"Valid"</x:formula>
    </x:cfRule>
  </x:conditionalFormatting>
  <x:conditionalFormatting sqref="E65:E65">
    <x:cfRule type="expression" dxfId="111" priority="112">
      <x:formula>$I$65&lt;&gt;"Valid"</x:formula>
    </x:cfRule>
  </x:conditionalFormatting>
  <x:conditionalFormatting sqref="E66:E66">
    <x:cfRule type="expression" dxfId="112" priority="113">
      <x:formula>AND($E$5=1,$I$65&lt;&gt;"Valid")</x:formula>
    </x:cfRule>
  </x:conditionalFormatting>
  <x:conditionalFormatting sqref="E67:E67">
    <x:cfRule type="expression" dxfId="113" priority="114">
      <x:formula>AND($E$5=2,$I$65&lt;&gt;"Valid")</x:formula>
    </x:cfRule>
  </x:conditionalFormatting>
  <x:conditionalFormatting sqref="E68:E68">
    <x:cfRule type="expression" dxfId="114" priority="115">
      <x:formula>AND($E$5=3,$I$65&lt;&gt;"Valid")</x:formula>
    </x:cfRule>
  </x:conditionalFormatting>
  <x:conditionalFormatting sqref="J65:J65">
    <x:cfRule type="expression" dxfId="115" priority="116">
      <x:formula>J65&lt;&gt;"Valid"</x:formula>
    </x:cfRule>
  </x:conditionalFormatting>
  <x:conditionalFormatting sqref="F65:F65">
    <x:cfRule type="expression" dxfId="116" priority="117">
      <x:formula>$J$65&lt;&gt;"Valid"</x:formula>
    </x:cfRule>
  </x:conditionalFormatting>
  <x:conditionalFormatting sqref="F66:F66">
    <x:cfRule type="expression" dxfId="117" priority="118">
      <x:formula>AND($E$5=1,$J$65&lt;&gt;"Valid")</x:formula>
    </x:cfRule>
  </x:conditionalFormatting>
  <x:conditionalFormatting sqref="F67:F67">
    <x:cfRule type="expression" dxfId="118" priority="119">
      <x:formula>AND($E$5=2,$J$65&lt;&gt;"Valid")</x:formula>
    </x:cfRule>
  </x:conditionalFormatting>
  <x:conditionalFormatting sqref="F68:F68">
    <x:cfRule type="expression" dxfId="119" priority="120">
      <x:formula>AND($E$5=3,$J$65&lt;&gt;"Valid")</x:formula>
    </x:cfRule>
  </x:conditionalFormatting>
  <x:conditionalFormatting sqref="I70:I70">
    <x:cfRule type="expression" dxfId="120" priority="121">
      <x:formula>I70&lt;&gt;"Valid"</x:formula>
    </x:cfRule>
  </x:conditionalFormatting>
  <x:conditionalFormatting sqref="E70:E70">
    <x:cfRule type="expression" dxfId="121" priority="122">
      <x:formula>$I$70&lt;&gt;"Valid"</x:formula>
    </x:cfRule>
  </x:conditionalFormatting>
  <x:conditionalFormatting sqref="E71:E71">
    <x:cfRule type="expression" dxfId="122" priority="123">
      <x:formula>AND($E$5=1,$I$70&lt;&gt;"Valid")</x:formula>
    </x:cfRule>
  </x:conditionalFormatting>
  <x:conditionalFormatting sqref="E72:E72">
    <x:cfRule type="expression" dxfId="123" priority="124">
      <x:formula>AND($E$5=2,$I$70&lt;&gt;"Valid")</x:formula>
    </x:cfRule>
  </x:conditionalFormatting>
  <x:conditionalFormatting sqref="E73:E73">
    <x:cfRule type="expression" dxfId="124" priority="125">
      <x:formula>AND($E$5=3,$I$70&lt;&gt;"Valid")</x:formula>
    </x:cfRule>
  </x:conditionalFormatting>
  <x:conditionalFormatting sqref="J70:J70">
    <x:cfRule type="expression" dxfId="125" priority="126">
      <x:formula>J70&lt;&gt;"Valid"</x:formula>
    </x:cfRule>
  </x:conditionalFormatting>
  <x:conditionalFormatting sqref="F70:F70">
    <x:cfRule type="expression" dxfId="126" priority="127">
      <x:formula>$J$70&lt;&gt;"Valid"</x:formula>
    </x:cfRule>
  </x:conditionalFormatting>
  <x:conditionalFormatting sqref="F71:F71">
    <x:cfRule type="expression" dxfId="127" priority="128">
      <x:formula>AND($E$5=1,$J$70&lt;&gt;"Valid")</x:formula>
    </x:cfRule>
  </x:conditionalFormatting>
  <x:conditionalFormatting sqref="F72:F72">
    <x:cfRule type="expression" dxfId="128" priority="129">
      <x:formula>AND($E$5=2,$J$70&lt;&gt;"Valid")</x:formula>
    </x:cfRule>
  </x:conditionalFormatting>
  <x:conditionalFormatting sqref="F73:F73">
    <x:cfRule type="expression" dxfId="129" priority="130">
      <x:formula>AND($E$5=3,$J$70&lt;&gt;"Valid")</x:formula>
    </x:cfRule>
  </x:conditionalFormatting>
  <x:conditionalFormatting sqref="E76:E76">
    <x:cfRule type="expression" dxfId="130" priority="131">
      <x:formula>E76=FALSE</x:formula>
    </x:cfRule>
  </x:conditionalFormatting>
  <x:conditionalFormatting sqref="F76:F76">
    <x:cfRule type="expression" dxfId="131" priority="132">
      <x:formula>F76=FALSE</x:formula>
    </x:cfRule>
  </x:conditionalFormatting>
  <x:conditionalFormatting sqref="E5:F6">
    <x:cfRule type="expression" dxfId="132" priority="133">
      <x:formula>$E$6&lt;&gt;"Valid case"</x:formula>
    </x:cfRule>
  </x:conditionalFormatting>
  <x:dataValidations count="1">
    <x:dataValidation type="list" sqref="E5">
      <x:formula1>"1,2,3"</x:formula1>
    </x:dataValidation>
  </x:dataValidations>
  <x:pageMargins left="0.7" right="0.7" top="0.75" bottom="0.75" header="0.3" footer="0.3"/>
  <x:legacyDrawing xmlns:r="http://schemas.openxmlformats.org/officeDocument/2006/relationships" r:id="R4c2b794374844ff6"/>
</x:worksheet>
</file>

<file path=xl/worksheets/sheet3.xml><?xml version="1.0" encoding="utf-8"?>
<x:worksheet xmlns:x="http://schemas.openxmlformats.org/spreadsheetml/2006/main">
  <x:sheetPr>
    <x:tabColor rgb="FFB3654C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37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9" customHeight="1">
      <x:c r="A2" s="3"/>
      <x:c r="B2" s="3"/>
      <x:c r="C2" s="4" t="str">
        <x:v>Anthropic forecast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0" customHeight="1">
      <x:c r="A3" s="3"/>
      <x:c r="B3" s="3"/>
      <x:c r="C3" s="6" t="str">
        <x:v>USD billions. Economic EBIT, net reinvestment and year-end FCFF.</x:v>
      </x:c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0" customHeight="1">
      <x:c r="A5" s="3"/>
      <x:c r="B5" s="3"/>
      <x:c r="C5" s="3" t="str">
        <x:v>Case selected:</x:v>
      </x:c>
      <x:c r="D5" s="3"/>
      <x:c r="E5" s="9" t="str">
        <x:f>'Assumptions'!F5</x:f>
        <x:v>Base</x:v>
      </x:c>
      <x:c r="F5" s="3"/>
      <x:c r="G5" s="3"/>
      <x:c r="H5" s="3" t="str">
        <x:v>Valuation date:</x:v>
      </x:c>
      <x:c r="I5" s="3"/>
      <x:c r="J5" s="68" t="n">
        <x:f>'Assumptions'!I5</x:f>
        <x:v>46313</x:v>
      </x:c>
      <x:c r="K5" s="3"/>
      <x:c r="L5" s="3"/>
      <x:c r="M5" s="3"/>
      <x:c r="N5" s="3"/>
    </x:row>
    <x:row r="6" ht="20" customHeight="1">
      <x:c r="A6" s="3"/>
      <x:c r="B6" s="3"/>
      <x:c r="C6" s="3" t="str">
        <x:v>Active assumptions:</x:v>
      </x:c>
      <x:c r="D6" s="3"/>
      <x:c r="E6" s="3" t="str">
        <x:f>IF('Assumptions'!E76,"Valid","Invalid")</x:f>
        <x:v>Valid</x:v>
      </x:c>
      <x:c r="F6" s="3"/>
      <x:c r="G6" s="3"/>
      <x:c r="H6" s="3" t="str">
        <x:v>Terminal year is fixed at 2036.</x:v>
      </x:c>
      <x:c r="I6" s="3"/>
      <x:c r="J6" s="3"/>
      <x:c r="K6" s="3"/>
      <x:c r="L6" s="3"/>
      <x:c r="M6" s="3"/>
      <x:c r="N6" s="3"/>
    </x:row>
    <x:row r="7" ht="2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2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24" customHeight="1">
      <x:c r="A9" s="3"/>
      <x:c r="B9" s="3"/>
      <x:c r="C9" s="15" t="str">
        <x:v>Calendar year</x:v>
      </x:c>
      <x:c r="D9" s="16" t="str">
        <x:v>2026 stub</x:v>
      </x:c>
      <x:c r="E9" s="16" t="n">
        <x:v>2027</x:v>
      </x:c>
      <x:c r="F9" s="16" t="n">
        <x:v>2028</x:v>
      </x:c>
      <x:c r="G9" s="16" t="n">
        <x:v>2029</x:v>
      </x:c>
      <x:c r="H9" s="16" t="n">
        <x:v>2030</x:v>
      </x:c>
      <x:c r="I9" s="16" t="n">
        <x:v>2031</x:v>
      </x:c>
      <x:c r="J9" s="16" t="n">
        <x:v>2032</x:v>
      </x:c>
      <x:c r="K9" s="16" t="n">
        <x:v>2033</x:v>
      </x:c>
      <x:c r="L9" s="16" t="n">
        <x:v>2034</x:v>
      </x:c>
      <x:c r="M9" s="16" t="n">
        <x:v>2035</x:v>
      </x:c>
      <x:c r="N9" s="17" t="n">
        <x:v>2036</x:v>
      </x:c>
    </x:row>
    <x:row r="10" ht="20" customHeight="1">
      <x:c r="A10" s="3"/>
      <x:c r="B10" s="3"/>
      <x:c r="C10" s="3" t="str">
        <x:v>Revenue</x:v>
      </x:c>
      <x:c r="D10" s="63" t="n">
        <x:f>IF($E$6="Valid",'Assumptions'!$E$10,"n.a.")</x:f>
        <x:v>53.26</x:v>
      </x:c>
      <x:c r="E10" s="19" t="n">
        <x:f>IF($E$6="Valid",D10*(1+E11),"n.a.")</x:f>
        <x:v>77.22699999999999</x:v>
      </x:c>
      <x:c r="F10" s="19" t="n">
        <x:f>IF($E$6="Valid",E10*(1+F11),"n.a.")</x:f>
        <x:v>111.97914999999998</x:v>
      </x:c>
      <x:c r="G10" s="19" t="n">
        <x:f>IF($E$6="Valid",F10*(1+G11),"n.a.")</x:f>
        <x:v>162.36976749999997</x:v>
      </x:c>
      <x:c r="H10" s="19" t="n">
        <x:f>IF($E$6="Valid",G10*(1+H11),"n.a.")</x:f>
        <x:v>235.43616287499995</x:v>
      </x:c>
      <x:c r="I10" s="19" t="n">
        <x:f>IF($E$6="Valid",H10*(1+I11),"n.a.")</x:f>
        <x:v>291.94084196499995</x:v>
      </x:c>
      <x:c r="J10" s="19" t="n">
        <x:f>IF($E$6="Valid",I10*(1+J11),"n.a.")</x:f>
        <x:v>362.00664403659994</x:v>
      </x:c>
      <x:c r="K10" s="19" t="n">
        <x:f>IF($E$6="Valid",J10*(1+K11),"n.a.")</x:f>
        <x:v>448.88823860538395</x:v>
      </x:c>
      <x:c r="L10" s="19" t="n">
        <x:f>IF($E$6="Valid",K10*(1+L11),"n.a.")</x:f>
        <x:v>502.7548272380301</x:v>
      </x:c>
      <x:c r="M10" s="19" t="n">
        <x:f>IF($E$6="Valid",L10*(1+M11),"n.a.")</x:f>
        <x:v>563.0854065065937</x:v>
      </x:c>
      <x:c r="N10" s="19" t="n">
        <x:f>IF($E$6="Valid",M10*(1+N11),"n.a.")</x:f>
        <x:v>630.655655287385</x:v>
      </x:c>
    </x:row>
    <x:row r="11" ht="20" customHeight="1">
      <x:c r="A11" s="3"/>
      <x:c r="B11" s="3"/>
      <x:c r="C11" s="41" t="str">
        <x:v>Revenue growth</x:v>
      </x:c>
      <x:c r="D11" s="42" t="str">
        <x:v>n.a.</x:v>
      </x:c>
      <x:c r="E11" s="66" t="n">
        <x:f>IF($E$6="Valid",'Assumptions'!$E$15,"n.a.")</x:f>
        <x:v>0.45</x:v>
      </x:c>
      <x:c r="F11" s="66" t="n">
        <x:f>IF($E$6="Valid",'Assumptions'!$E$15,"n.a.")</x:f>
        <x:v>0.45</x:v>
      </x:c>
      <x:c r="G11" s="66" t="n">
        <x:f>IF($E$6="Valid",'Assumptions'!$E$15,"n.a.")</x:f>
        <x:v>0.45</x:v>
      </x:c>
      <x:c r="H11" s="66" t="n">
        <x:f>IF($E$6="Valid",'Assumptions'!$E$15,"n.a.")</x:f>
        <x:v>0.45</x:v>
      </x:c>
      <x:c r="I11" s="66" t="n">
        <x:f>IF($E$6="Valid",'Assumptions'!$E$20,"n.a.")</x:f>
        <x:v>0.24</x:v>
      </x:c>
      <x:c r="J11" s="66" t="n">
        <x:f>IF($E$6="Valid",'Assumptions'!$E$20,"n.a.")</x:f>
        <x:v>0.24</x:v>
      </x:c>
      <x:c r="K11" s="66" t="n">
        <x:f>IF($E$6="Valid",'Assumptions'!$E$20,"n.a.")</x:f>
        <x:v>0.24</x:v>
      </x:c>
      <x:c r="L11" s="66" t="n">
        <x:f>IF($E$6="Valid",'Assumptions'!$E$25,"n.a.")</x:f>
        <x:v>0.12</x:v>
      </x:c>
      <x:c r="M11" s="66" t="n">
        <x:f>IF($E$6="Valid",'Assumptions'!$E$25,"n.a.")</x:f>
        <x:v>0.12</x:v>
      </x:c>
      <x:c r="N11" s="66" t="n">
        <x:f>IF($E$6="Valid",'Assumptions'!$E$25,"n.a.")</x:f>
        <x:v>0.12</x:v>
      </x:c>
    </x:row>
    <x:row r="12" ht="20" customHeight="1">
      <x:c r="A12" s="3"/>
      <x:c r="B12" s="3"/>
      <x:c r="C12" s="41" t="str">
        <x:v>Economic EBIT margin</x:v>
      </x:c>
      <x:c r="D12" s="42" t="str">
        <x:v>n.a.</x:v>
      </x:c>
      <x:c r="E12" s="66" t="n">
        <x:f>IF($E$6="Valid",IF(E$9&lt;=2030,'Assumptions'!$E$30+('Assumptions'!$E$35-'Assumptions'!$E$30)*(E$9-2027)/3,'Assumptions'!$E$35+('Assumptions'!$E$40-'Assumptions'!$E$35)*(E$9-2030)/6),"n.a.")</x:f>
        <x:v>-0.02</x:v>
      </x:c>
      <x:c r="F12" s="66" t="n">
        <x:f>IF($E$6="Valid",IF(F$9&lt;=2030,'Assumptions'!$E$30+('Assumptions'!$E$35-'Assumptions'!$E$30)*(F$9-2027)/3,'Assumptions'!$E$35+('Assumptions'!$E$40-'Assumptions'!$E$35)*(F$9-2030)/6),"n.a.")</x:f>
        <x:v>0.04666666666666666</x:v>
      </x:c>
      <x:c r="G12" s="66" t="n">
        <x:f>IF($E$6="Valid",IF(G$9&lt;=2030,'Assumptions'!$E$30+('Assumptions'!$E$35-'Assumptions'!$E$30)*(G$9-2027)/3,'Assumptions'!$E$35+('Assumptions'!$E$40-'Assumptions'!$E$35)*(G$9-2030)/6),"n.a.")</x:f>
        <x:v>0.11333333333333333</x:v>
      </x:c>
      <x:c r="H12" s="66" t="n">
        <x:f>IF($E$6="Valid",IF(H$9&lt;=2030,'Assumptions'!$E$30+('Assumptions'!$E$35-'Assumptions'!$E$30)*(H$9-2027)/3,'Assumptions'!$E$35+('Assumptions'!$E$40-'Assumptions'!$E$35)*(H$9-2030)/6),"n.a.")</x:f>
        <x:v>0.18</x:v>
      </x:c>
      <x:c r="I12" s="66" t="n">
        <x:f>IF($E$6="Valid",IF(I$9&lt;=2030,'Assumptions'!$E$30+('Assumptions'!$E$35-'Assumptions'!$E$30)*(I$9-2027)/3,'Assumptions'!$E$35+('Assumptions'!$E$40-'Assumptions'!$E$35)*(I$9-2030)/6),"n.a.")</x:f>
        <x:v>0.18666666666666665</x:v>
      </x:c>
      <x:c r="J12" s="66" t="n">
        <x:f>IF($E$6="Valid",IF(J$9&lt;=2030,'Assumptions'!$E$30+('Assumptions'!$E$35-'Assumptions'!$E$30)*(J$9-2027)/3,'Assumptions'!$E$35+('Assumptions'!$E$40-'Assumptions'!$E$35)*(J$9-2030)/6),"n.a.")</x:f>
        <x:v>0.19333333333333333</x:v>
      </x:c>
      <x:c r="K12" s="66" t="n">
        <x:f>IF($E$6="Valid",IF(K$9&lt;=2030,'Assumptions'!$E$30+('Assumptions'!$E$35-'Assumptions'!$E$30)*(K$9-2027)/3,'Assumptions'!$E$35+('Assumptions'!$E$40-'Assumptions'!$E$35)*(K$9-2030)/6),"n.a.")</x:f>
        <x:v>0.2</x:v>
      </x:c>
      <x:c r="L12" s="66" t="n">
        <x:f>IF($E$6="Valid",IF(L$9&lt;=2030,'Assumptions'!$E$30+('Assumptions'!$E$35-'Assumptions'!$E$30)*(L$9-2027)/3,'Assumptions'!$E$35+('Assumptions'!$E$40-'Assumptions'!$E$35)*(L$9-2030)/6),"n.a.")</x:f>
        <x:v>0.20666666666666667</x:v>
      </x:c>
      <x:c r="M12" s="66" t="n">
        <x:f>IF($E$6="Valid",IF(M$9&lt;=2030,'Assumptions'!$E$30+('Assumptions'!$E$35-'Assumptions'!$E$30)*(M$9-2027)/3,'Assumptions'!$E$35+('Assumptions'!$E$40-'Assumptions'!$E$35)*(M$9-2030)/6),"n.a.")</x:f>
        <x:v>0.21333333333333332</x:v>
      </x:c>
      <x:c r="N12" s="66" t="n">
        <x:f>IF($E$6="Valid",IF(N$9&lt;=2030,'Assumptions'!$E$30+('Assumptions'!$E$35-'Assumptions'!$E$30)*(N$9-2027)/3,'Assumptions'!$E$35+('Assumptions'!$E$40-'Assumptions'!$E$35)*(N$9-2030)/6),"n.a.")</x:f>
        <x:v>0.22</x:v>
      </x:c>
    </x:row>
    <x:row r="13" ht="20" customHeight="1">
      <x:c r="A13" s="3"/>
      <x:c r="B13" s="3"/>
      <x:c r="C13" s="3" t="str">
        <x:v>Economic EBIT</x:v>
      </x:c>
      <x:c r="D13" s="52" t="str">
        <x:v>n.a.</x:v>
      </x:c>
      <x:c r="E13" s="52" t="n">
        <x:f>IF($E$6="Valid",E10*E12,"n.a.")</x:f>
        <x:v>-1.5445399999999998</x:v>
      </x:c>
      <x:c r="F13" s="52" t="n">
        <x:f>IF($E$6="Valid",F10*F12,"n.a.")</x:f>
        <x:v>5.225693666666665</x:v>
      </x:c>
      <x:c r="G13" s="52" t="n">
        <x:f>IF($E$6="Valid",G10*G12,"n.a.")</x:f>
        <x:v>18.40190698333333</x:v>
      </x:c>
      <x:c r="H13" s="52" t="n">
        <x:f>IF($E$6="Valid",H10*H12,"n.a.")</x:f>
        <x:v>42.37850931749999</x:v>
      </x:c>
      <x:c r="I13" s="52" t="n">
        <x:f>IF($E$6="Valid",I10*I12,"n.a.")</x:f>
        <x:v>54.49562383346665</x:v>
      </x:c>
      <x:c r="J13" s="52" t="n">
        <x:f>IF($E$6="Valid",J10*J12,"n.a.")</x:f>
        <x:v>69.98795118040933</x:v>
      </x:c>
      <x:c r="K13" s="52" t="n">
        <x:f>IF($E$6="Valid",K10*K12,"n.a.")</x:f>
        <x:v>89.77764772107679</x:v>
      </x:c>
      <x:c r="L13" s="52" t="n">
        <x:f>IF($E$6="Valid",L10*L12,"n.a.")</x:f>
        <x:v>103.90266429585955</x:v>
      </x:c>
      <x:c r="M13" s="52" t="n">
        <x:f>IF($E$6="Valid",M10*M12,"n.a.")</x:f>
        <x:v>120.12488672140665</x:v>
      </x:c>
      <x:c r="N13" s="52" t="n">
        <x:f>IF($E$6="Valid",N10*N12,"n.a.")</x:f>
        <x:v>138.7442441632247</x:v>
      </x:c>
    </x:row>
    <x:row r="14" ht="20" customHeight="1">
      <x:c r="A14" s="3"/>
      <x:c r="B14" s="3"/>
      <x:c r="C14" s="3" t="str">
        <x:v>Tax on positive EBIT</x:v>
      </x:c>
      <x:c r="D14" s="52" t="str">
        <x:v>n.a.</x:v>
      </x:c>
      <x:c r="E14" s="67" t="n">
        <x:f>IF($E$6="Valid",MAX(0,E13)*'Assumptions'!$E$70,"n.a.")</x:f>
        <x:v>0</x:v>
      </x:c>
      <x:c r="F14" s="67" t="n">
        <x:f>IF($E$6="Valid",MAX(0,F13)*'Assumptions'!$E$70,"n.a.")</x:f>
        <x:v>1.3064234166666662</x:v>
      </x:c>
      <x:c r="G14" s="67" t="n">
        <x:f>IF($E$6="Valid",MAX(0,G13)*'Assumptions'!$E$70,"n.a.")</x:f>
        <x:v>4.600476745833332</x:v>
      </x:c>
      <x:c r="H14" s="67" t="n">
        <x:f>IF($E$6="Valid",MAX(0,H13)*'Assumptions'!$E$70,"n.a.")</x:f>
        <x:v>10.594627329374998</x:v>
      </x:c>
      <x:c r="I14" s="67" t="n">
        <x:f>IF($E$6="Valid",MAX(0,I13)*'Assumptions'!$E$70,"n.a.")</x:f>
        <x:v>13.623905958366663</x:v>
      </x:c>
      <x:c r="J14" s="67" t="n">
        <x:f>IF($E$6="Valid",MAX(0,J13)*'Assumptions'!$E$70,"n.a.")</x:f>
        <x:v>17.49698779510233</x:v>
      </x:c>
      <x:c r="K14" s="67" t="n">
        <x:f>IF($E$6="Valid",MAX(0,K13)*'Assumptions'!$E$70,"n.a.")</x:f>
        <x:v>22.444411930269197</x:v>
      </x:c>
      <x:c r="L14" s="67" t="n">
        <x:f>IF($E$6="Valid",MAX(0,L13)*'Assumptions'!$E$70,"n.a.")</x:f>
        <x:v>25.975666073964888</x:v>
      </x:c>
      <x:c r="M14" s="67" t="n">
        <x:f>IF($E$6="Valid",MAX(0,M13)*'Assumptions'!$E$70,"n.a.")</x:f>
        <x:v>30.031221680351663</x:v>
      </x:c>
      <x:c r="N14" s="67" t="n">
        <x:f>IF($E$6="Valid",MAX(0,N13)*'Assumptions'!$E$70,"n.a.")</x:f>
        <x:v>34.68606104080617</x:v>
      </x:c>
    </x:row>
    <x:row r="15" ht="20" customHeight="1">
      <x:c r="A15" s="3"/>
      <x:c r="B15" s="3"/>
      <x:c r="C15" s="57" t="str">
        <x:v>NOPAT</x:v>
      </x:c>
      <x:c r="D15" s="58" t="str">
        <x:v>n.a.</x:v>
      </x:c>
      <x:c r="E15" s="58" t="n">
        <x:f>IF($E$6="Valid",E13-E14,"n.a.")</x:f>
        <x:v>-1.5445399999999998</x:v>
      </x:c>
      <x:c r="F15" s="58" t="n">
        <x:f>IF($E$6="Valid",F13-F14,"n.a.")</x:f>
        <x:v>3.9192702499999985</x:v>
      </x:c>
      <x:c r="G15" s="58" t="n">
        <x:f>IF($E$6="Valid",G13-G14,"n.a.")</x:f>
        <x:v>13.801430237499996</x:v>
      </x:c>
      <x:c r="H15" s="58" t="n">
        <x:f>IF($E$6="Valid",H13-H14,"n.a.")</x:f>
        <x:v>31.783881988124993</x:v>
      </x:c>
      <x:c r="I15" s="58" t="n">
        <x:f>IF($E$6="Valid",I13-I14,"n.a.")</x:f>
        <x:v>40.87171787509999</x:v>
      </x:c>
      <x:c r="J15" s="58" t="n">
        <x:f>IF($E$6="Valid",J13-J14,"n.a.")</x:f>
        <x:v>52.490963385307</x:v>
      </x:c>
      <x:c r="K15" s="58" t="n">
        <x:f>IF($E$6="Valid",K13-K14,"n.a.")</x:f>
        <x:v>67.33323579080759</x:v>
      </x:c>
      <x:c r="L15" s="58" t="n">
        <x:f>IF($E$6="Valid",L13-L14,"n.a.")</x:f>
        <x:v>77.92699822189466</x:v>
      </x:c>
      <x:c r="M15" s="58" t="n">
        <x:f>IF($E$6="Valid",M13-M14,"n.a.")</x:f>
        <x:v>90.09366504105499</x:v>
      </x:c>
      <x:c r="N15" s="58" t="n">
        <x:f>IF($E$6="Valid",N13-N14,"n.a.")</x:f>
        <x:v>104.05818312241851</x:v>
      </x:c>
    </x:row>
    <x:row r="16" ht="20" customHeight="1">
      <x:c r="A16" s="3"/>
      <x:c r="B16" s="3"/>
      <x:c r="C16" s="3" t="str">
        <x:v>Net reinvestment</x:v>
      </x:c>
      <x:c r="D16" s="52" t="str">
        <x:v>n.a.</x:v>
      </x:c>
      <x:c r="E16" s="67" t="n">
        <x:f>IF($E$6="Valid",(E10-D10)/'Assumptions'!$E$45,"n.a.")</x:f>
        <x:v>9.586799999999997</x:v>
      </x:c>
      <x:c r="F16" s="67" t="n">
        <x:f>IF($E$6="Valid",(F10-E10)/'Assumptions'!$E$45,"n.a.")</x:f>
        <x:v>13.900859999999994</x:v>
      </x:c>
      <x:c r="G16" s="67" t="n">
        <x:f>IF($E$6="Valid",(G10-F10)/'Assumptions'!$E$45,"n.a.")</x:f>
        <x:v>20.156246999999997</x:v>
      </x:c>
      <x:c r="H16" s="67" t="n">
        <x:f>IF($E$6="Valid",(H10-G10)/'Assumptions'!$E$45,"n.a.")</x:f>
        <x:v>29.226558149999995</x:v>
      </x:c>
      <x:c r="I16" s="67" t="n">
        <x:f>IF($E$6="Valid",(I10-H10)/'Assumptions'!$E$45,"n.a.")</x:f>
        <x:v>22.601871636</x:v>
      </x:c>
      <x:c r="J16" s="67" t="n">
        <x:f>IF($E$6="Valid",(J10-I10)/'Assumptions'!$E$45,"n.a.")</x:f>
        <x:v>28.026320828639996</x:v>
      </x:c>
      <x:c r="K16" s="67" t="n">
        <x:f>IF($E$6="Valid",(K10-J10)/'Assumptions'!$E$45,"n.a.")</x:f>
        <x:v>34.7526378275136</x:v>
      </x:c>
      <x:c r="L16" s="67" t="n">
        <x:f>IF($E$6="Valid",(L10-K10)/'Assumptions'!$E$45,"n.a.")</x:f>
        <x:v>21.546635453058457</x:v>
      </x:c>
      <x:c r="M16" s="67" t="n">
        <x:f>IF($E$6="Valid",(M10-L10)/'Assumptions'!$E$45,"n.a.")</x:f>
        <x:v>24.132231707425444</x:v>
      </x:c>
      <x:c r="N16" s="67" t="n">
        <x:f>IF($E$6="Valid",(N10-M10)/'Assumptions'!$E$45,"n.a.")</x:f>
        <x:v>27.028099512316523</x:v>
      </x:c>
    </x:row>
    <x:row r="17" ht="20" customHeight="1">
      <x:c r="A17" s="3"/>
      <x:c r="B17" s="3"/>
      <x:c r="C17" s="3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</x:row>
    <x:row r="18" ht="20" customHeight="1">
      <x:c r="A18" s="3"/>
      <x:c r="B18" s="3"/>
      <x:c r="C18" s="61" t="str">
        <x:v>FCFF</x:v>
      </x:c>
      <x:c r="D18" s="64" t="n">
        <x:f>IF($E$6="Valid",'Assumptions'!$E$65,"n.a.")</x:f>
        <x:v>-3</x:v>
      </x:c>
      <x:c r="E18" s="62" t="n">
        <x:f>IF($E$6="Valid",E15-E16,"n.a.")</x:f>
        <x:v>-11.131339999999996</x:v>
      </x:c>
      <x:c r="F18" s="62" t="n">
        <x:f>IF($E$6="Valid",F15-F16,"n.a.")</x:f>
        <x:v>-9.981589749999996</x:v>
      </x:c>
      <x:c r="G18" s="62" t="n">
        <x:f>IF($E$6="Valid",G15-G16,"n.a.")</x:f>
        <x:v>-6.3548167625000005</x:v>
      </x:c>
      <x:c r="H18" s="62" t="n">
        <x:f>IF($E$6="Valid",H15-H16,"n.a.")</x:f>
        <x:v>2.557323838124997</x:v>
      </x:c>
      <x:c r="I18" s="62" t="n">
        <x:f>IF($E$6="Valid",I15-I16,"n.a.")</x:f>
        <x:v>18.26984623909999</x:v>
      </x:c>
      <x:c r="J18" s="62" t="n">
        <x:f>IF($E$6="Valid",J15-J16,"n.a.")</x:f>
        <x:v>24.464642556667002</x:v>
      </x:c>
      <x:c r="K18" s="62" t="n">
        <x:f>IF($E$6="Valid",K15-K16,"n.a.")</x:f>
        <x:v>32.58059796329399</x:v>
      </x:c>
      <x:c r="L18" s="62" t="n">
        <x:f>IF($E$6="Valid",L15-L16,"n.a.")</x:f>
        <x:v>56.38036276883621</x:v>
      </x:c>
      <x:c r="M18" s="62" t="n">
        <x:f>IF($E$6="Valid",M15-M16,"n.a.")</x:f>
        <x:v>65.96143333362954</x:v>
      </x:c>
      <x:c r="N18" s="62" t="n">
        <x:f>IF($E$6="Valid",N15-N16,"n.a.")</x:f>
        <x:v>77.030083610102</x:v>
      </x:c>
    </x:row>
    <x:row r="19" ht="20" customHeight="1">
      <x:c r="A19" s="3"/>
      <x:c r="B19" s="3"/>
      <x:c r="C19" s="3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</x:row>
    <x:row r="20" ht="20" customHeight="1">
      <x:c r="A20" s="3"/>
      <x:c r="B20" s="3"/>
      <x:c r="C20" s="3" t="str">
        <x:v>Cash flow date</x:v>
      </x:c>
      <x:c r="D20" s="20" t="n">
        <x:f>DATE(2026,12,31)</x:f>
        <x:v>46387</x:v>
      </x:c>
      <x:c r="E20" s="20" t="n">
        <x:f>DATE(E$9,12,31)</x:f>
        <x:v>46752</x:v>
      </x:c>
      <x:c r="F20" s="20" t="n">
        <x:f>DATE(F$9,12,31)</x:f>
        <x:v>47118</x:v>
      </x:c>
      <x:c r="G20" s="20" t="n">
        <x:f>DATE(G$9,12,31)</x:f>
        <x:v>47483</x:v>
      </x:c>
      <x:c r="H20" s="20" t="n">
        <x:f>DATE(H$9,12,31)</x:f>
        <x:v>47848</x:v>
      </x:c>
      <x:c r="I20" s="20" t="n">
        <x:f>DATE(I$9,12,31)</x:f>
        <x:v>48213</x:v>
      </x:c>
      <x:c r="J20" s="20" t="n">
        <x:f>DATE(J$9,12,31)</x:f>
        <x:v>48579</x:v>
      </x:c>
      <x:c r="K20" s="20" t="n">
        <x:f>DATE(K$9,12,31)</x:f>
        <x:v>48944</x:v>
      </x:c>
      <x:c r="L20" s="20" t="n">
        <x:f>DATE(L$9,12,31)</x:f>
        <x:v>49309</x:v>
      </x:c>
      <x:c r="M20" s="20" t="n">
        <x:f>DATE(M$9,12,31)</x:f>
        <x:v>49674</x:v>
      </x:c>
      <x:c r="N20" s="20" t="n">
        <x:f>DATE(N$9,12,31)</x:f>
        <x:v>50040</x:v>
      </x:c>
    </x:row>
    <x:row r="21" ht="20" customHeight="1">
      <x:c r="A21" s="3"/>
      <x:c r="B21" s="3"/>
      <x:c r="C21" s="41" t="str">
        <x:v>Years from valuation date</x:v>
      </x:c>
      <x:c r="D21" s="65" t="n">
        <x:f>IF($E$6="Valid",(D20-'Assumptions'!$I$5)/365.25,"n.a.")</x:f>
        <x:v>0.2026009582477755</x:v>
      </x:c>
      <x:c r="E21" s="65" t="n">
        <x:f>IF($E$6="Valid",(E20-'Assumptions'!$I$5)/365.25,"n.a.")</x:f>
        <x:v>1.2019164955509924</x:v>
      </x:c>
      <x:c r="F21" s="65" t="n">
        <x:f>IF($E$6="Valid",(F20-'Assumptions'!$I$5)/365.25,"n.a.")</x:f>
        <x:v>2.2039698836413417</x:v>
      </x:c>
      <x:c r="G21" s="65" t="n">
        <x:f>IF($E$6="Valid",(G20-'Assumptions'!$I$5)/365.25,"n.a.")</x:f>
        <x:v>3.2032854209445585</x:v>
      </x:c>
      <x:c r="H21" s="65" t="n">
        <x:f>IF($E$6="Valid",(H20-'Assumptions'!$I$5)/365.25,"n.a.")</x:f>
        <x:v>4.202600958247776</x:v>
      </x:c>
      <x:c r="I21" s="65" t="n">
        <x:f>IF($E$6="Valid",(I20-'Assumptions'!$I$5)/365.25,"n.a.")</x:f>
        <x:v>5.201916495550993</x:v>
      </x:c>
      <x:c r="J21" s="65" t="n">
        <x:f>IF($E$6="Valid",(J20-'Assumptions'!$I$5)/365.25,"n.a.")</x:f>
        <x:v>6.203969883641341</x:v>
      </x:c>
      <x:c r="K21" s="65" t="n">
        <x:f>IF($E$6="Valid",(K20-'Assumptions'!$I$5)/365.25,"n.a.")</x:f>
        <x:v>7.2032854209445585</x:v>
      </x:c>
      <x:c r="L21" s="65" t="n">
        <x:f>IF($E$6="Valid",(L20-'Assumptions'!$I$5)/365.25,"n.a.")</x:f>
        <x:v>8.202600958247775</x:v>
      </x:c>
      <x:c r="M21" s="65" t="n">
        <x:f>IF($E$6="Valid",(M20-'Assumptions'!$I$5)/365.25,"n.a.")</x:f>
        <x:v>9.201916495550993</x:v>
      </x:c>
      <x:c r="N21" s="65" t="n">
        <x:f>IF($E$6="Valid",(N20-'Assumptions'!$I$5)/365.25,"n.a.")</x:f>
        <x:v>10.203969883641342</x:v>
      </x:c>
    </x:row>
    <x:row r="22" ht="20" customHeight="1">
      <x:c r="A22" s="3"/>
      <x:c r="B22" s="3"/>
      <x:c r="C22" s="41" t="str">
        <x:v>Discount factor</x:v>
      </x:c>
      <x:c r="D22" s="65" t="n">
        <x:f>IF($E$6="Valid",(1+'Assumptions'!$E$50)^(-D21),"n.a.")</x:f>
        <x:v>0.9764195131330502</x:v>
      </x:c>
      <x:c r="E22" s="65" t="n">
        <x:f>IF($E$6="Valid",(1+'Assumptions'!$E$50)^(-E21),"n.a.")</x:f>
        <x:v>0.8679984296768486</x:v>
      </x:c>
      <x:c r="F22" s="65" t="n">
        <x:f>IF($E$6="Valid",(1+'Assumptions'!$E$50)^(-F21),"n.a.")</x:f>
        <x:v>0.7713675785985523</x:v>
      </x:c>
      <x:c r="G22" s="65" t="n">
        <x:f>IF($E$6="Valid",(1+'Assumptions'!$E$50)^(-G21),"n.a.")</x:f>
        <x:v>0.6857153487017029</x:v>
      </x:c>
      <x:c r="H22" s="65" t="n">
        <x:f>IF($E$6="Valid",(1+'Assumptions'!$E$50)^(-H21),"n.a.")</x:f>
        <x:v>0.6095738951063822</x:v>
      </x:c>
      <x:c r="I22" s="65" t="n">
        <x:f>IF($E$6="Valid",(1+'Assumptions'!$E$50)^(-I21),"n.a.")</x:f>
        <x:v>0.5418871464649248</x:v>
      </x:c>
      <x:c r="J22" s="65" t="n">
        <x:f>IF($E$6="Valid",(1+'Assumptions'!$E$50)^(-J21),"n.a.")</x:f>
        <x:v>0.4815609818533258</x:v>
      </x:c>
      <x:c r="K22" s="65" t="n">
        <x:f>IF($E$6="Valid",(1+'Assumptions'!$E$50)^(-K21),"n.a.")</x:f>
        <x:v>0.42808871639722224</x:v>
      </x:c>
      <x:c r="L22" s="65" t="n">
        <x:f>IF($E$6="Valid",(1+'Assumptions'!$E$50)^(-L21),"n.a.")</x:f>
        <x:v>0.3805539817643258</x:v>
      </x:c>
      <x:c r="M22" s="65" t="n">
        <x:f>IF($E$6="Valid",(1+'Assumptions'!$E$50)^(-M21),"n.a.")</x:f>
        <x:v>0.3382974778113598</x:v>
      </x:c>
      <x:c r="N22" s="65" t="n">
        <x:f>IF($E$6="Valid",(1+'Assumptions'!$E$50)^(-N21),"n.a.")</x:f>
        <x:v>0.3006361502318583</x:v>
      </x:c>
    </x:row>
    <x:row r="23" ht="20" customHeight="1">
      <x:c r="A23" s="3"/>
      <x:c r="B23" s="3"/>
      <x:c r="C23" s="57" t="str">
        <x:v>Present value of FCFF</x:v>
      </x:c>
      <x:c r="D23" s="60" t="n">
        <x:f>IF($E$6="Valid",D18*D22,"n.a.")</x:f>
        <x:v>-2.9292585393991506</x:v>
      </x:c>
      <x:c r="E23" s="60" t="n">
        <x:f>IF($E$6="Valid",E18*E22,"n.a.")</x:f>
        <x:v>-9.661985640199088</x:v>
      </x:c>
      <x:c r="F23" s="60" t="n">
        <x:f>IF($E$6="Valid",F18*F22,"n.a.")</x:f>
        <x:v>-7.699474716021626</x:v>
      </x:c>
      <x:c r="G23" s="60" t="n">
        <x:f>IF($E$6="Valid",G18*G22,"n.a.")</x:f>
        <x:v>-4.357595392233114</x:v>
      </x:c>
      <x:c r="H23" s="60" t="n">
        <x:f>IF($E$6="Valid",H18*H22,"n.a.")</x:f>
        <x:v>1.5588778530542577</x:v>
      </x:c>
      <x:c r="I23" s="60" t="n">
        <x:f>IF($E$6="Valid",I18*I22,"n.a.")</x:f>
        <x:v>9.90019484485883</x:v>
      </x:c>
      <x:c r="J23" s="60" t="n">
        <x:f>IF($E$6="Valid",J18*J22,"n.a.")</x:f>
        <x:v>11.781217290279221</x:v>
      </x:c>
      <x:c r="K23" s="60" t="n">
        <x:f>IF($E$6="Valid",K18*K22,"n.a.")</x:f>
        <x:v>13.947386361560477</x:v>
      </x:c>
      <x:c r="L23" s="60" t="n">
        <x:f>IF($E$6="Valid",L18*L22,"n.a.")</x:f>
        <x:v>21.455771544997766</x:v>
      </x:c>
      <x:c r="M23" s="60" t="n">
        <x:f>IF($E$6="Valid",M18*M22,"n.a.")</x:f>
        <x:v>22.314586529589032</x:v>
      </x:c>
      <x:c r="N23" s="60" t="n">
        <x:f>IF($E$6="Valid",N18*N22,"n.a.")</x:f>
        <x:v>23.15802778857923</x:v>
      </x:c>
    </x:row>
    <x:row r="24" ht="20" customHeight="1">
      <x:c r="A24" s="3"/>
      <x:c r="B24" s="3"/>
      <x:c r="C24" s="57" t="str">
        <x:v>Cumulative undiscounted FCFF</x:v>
      </x:c>
      <x:c r="D24" s="60" t="n">
        <x:f>IF($E$6="Valid",D18,"n.a.")</x:f>
        <x:v>-3</x:v>
      </x:c>
      <x:c r="E24" s="60" t="n">
        <x:f>IF($E$6="Valid",D24+E18,"n.a.")</x:f>
        <x:v>-14.131339999999996</x:v>
      </x:c>
      <x:c r="F24" s="60" t="n">
        <x:f>IF($E$6="Valid",E24+F18,"n.a.")</x:f>
        <x:v>-24.112929749999992</x:v>
      </x:c>
      <x:c r="G24" s="60" t="n">
        <x:f>IF($E$6="Valid",F24+G18,"n.a.")</x:f>
        <x:v>-30.467746512499993</x:v>
      </x:c>
      <x:c r="H24" s="60" t="n">
        <x:f>IF($E$6="Valid",G24+H18,"n.a.")</x:f>
        <x:v>-27.910422674374995</x:v>
      </x:c>
      <x:c r="I24" s="60" t="n">
        <x:f>IF($E$6="Valid",H24+I18,"n.a.")</x:f>
        <x:v>-9.640576435275005</x:v>
      </x:c>
      <x:c r="J24" s="60" t="n">
        <x:f>IF($E$6="Valid",I24+J18,"n.a.")</x:f>
        <x:v>14.824066121391997</x:v>
      </x:c>
      <x:c r="K24" s="60" t="n">
        <x:f>IF($E$6="Valid",J24+K18,"n.a.")</x:f>
        <x:v>47.40466408468599</x:v>
      </x:c>
      <x:c r="L24" s="60" t="n">
        <x:f>IF($E$6="Valid",K24+L18,"n.a.")</x:f>
        <x:v>103.7850268535222</x:v>
      </x:c>
      <x:c r="M24" s="60" t="n">
        <x:f>IF($E$6="Valid",L24+M18,"n.a.")</x:f>
        <x:v>169.74646018715174</x:v>
      </x:c>
      <x:c r="N24" s="60" t="n">
        <x:f>IF($E$6="Valid",M24+N18,"n.a.")</x:f>
        <x:v>246.77654379725374</x:v>
      </x:c>
    </x:row>
    <x:row r="25" ht="2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0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20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4" customHeight="1">
      <x:c r="A28" s="3"/>
      <x:c r="B28" s="3"/>
      <x:c r="C28" s="25" t="str">
        <x:v>Enterprise value build</x:v>
      </x:c>
      <x:c r="D28" s="25"/>
      <x:c r="E28" s="25"/>
      <x:c r="F28" s="25"/>
      <x:c r="G28" s="3"/>
      <x:c r="H28" s="25" t="str">
        <x:v>Perpetuity and transition</x:v>
      </x:c>
      <x:c r="I28" s="25"/>
      <x:c r="J28" s="25"/>
      <x:c r="K28" s="25"/>
      <x:c r="L28" s="25"/>
      <x:c r="M28" s="25"/>
      <x:c r="N28" s="25"/>
    </x:row>
    <x:row r="29" ht="2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0" customHeight="1">
      <x:c r="A30" s="3"/>
      <x:c r="B30" s="3"/>
      <x:c r="C30" s="3" t="str">
        <x:v>PV explicit cash flows, including stub</x:v>
      </x:c>
      <x:c r="D30" s="3"/>
      <x:c r="E30" s="3"/>
      <x:c r="F30" s="19" t="n">
        <x:f>IF($E$6="Valid",SUM(D23:N23),"n.a.")</x:f>
        <x:v>79.46774792506584</x:v>
      </x:c>
      <x:c r="G30" s="3"/>
      <x:c r="H30" s="3" t="str">
        <x:v>2037 revenue</x:v>
      </x:c>
      <x:c r="I30" s="3"/>
      <x:c r="J30" s="3"/>
      <x:c r="K30" s="3"/>
      <x:c r="L30" s="63" t="n">
        <x:f>IF($E$6="Valid",N10*(1+'Assumptions'!$E$55),"n.a.")</x:f>
        <x:v>649.5753249460066</x:v>
      </x:c>
      <x:c r="M30" s="3"/>
      <x:c r="N30" s="3"/>
    </x:row>
    <x:row r="31" ht="20" customHeight="1">
      <x:c r="A31" s="3"/>
      <x:c r="B31" s="3"/>
      <x:c r="C31" s="3" t="str">
        <x:v>PV terminal value</x:v>
      </x:c>
      <x:c r="D31" s="3"/>
      <x:c r="E31" s="3"/>
      <x:c r="F31" s="19" t="n">
        <x:f>IF($E$6="Valid",L36,"n.a.")</x:f>
        <x:v>288.30354687449426</x:v>
      </x:c>
      <x:c r="G31" s="3"/>
      <x:c r="H31" s="3" t="str">
        <x:v>2037 NOPAT</x:v>
      </x:c>
      <x:c r="I31" s="3"/>
      <x:c r="J31" s="3"/>
      <x:c r="K31" s="3"/>
      <x:c r="L31" s="63" t="n">
        <x:f>IF($E$6="Valid",L30*'Assumptions'!$E$40*(1-'Assumptions'!$E$70),"n.a.")</x:f>
        <x:v>107.17992861609108</x:v>
      </x:c>
      <x:c r="M31" s="3"/>
      <x:c r="N31" s="3"/>
    </x:row>
    <x:row r="32" ht="26" customHeight="1">
      <x:c r="A32" s="3"/>
      <x:c r="B32" s="3"/>
      <x:c r="C32" s="72" t="str">
        <x:v>Operating enterprise value</x:v>
      </x:c>
      <x:c r="D32" s="72"/>
      <x:c r="E32" s="72"/>
      <x:c r="F32" s="73" t="n">
        <x:f>IF($E$6="Valid",SUM(F30:F31),"n.a.")</x:f>
        <x:v>367.7712947995601</x:v>
      </x:c>
      <x:c r="G32" s="3"/>
      <x:c r="H32" s="41" t="str">
        <x:v>Reinvestment share (g / ROIC)</x:v>
      </x:c>
      <x:c r="I32" s="41"/>
      <x:c r="J32" s="41"/>
      <x:c r="K32" s="41"/>
      <x:c r="L32" s="66" t="n">
        <x:f>IF($E$6="Valid",'Assumptions'!$E$55/'Assumptions'!$E$60,"n.a.")</x:f>
        <x:v>0.15</x:v>
      </x:c>
      <x:c r="M32" s="3"/>
      <x:c r="N32" s="3"/>
    </x:row>
    <x:row r="33" ht="20" customHeight="1">
      <x:c r="A33" s="3"/>
      <x:c r="B33" s="3"/>
      <x:c r="C33" s="41" t="str">
        <x:v>Terminal value / enterprise value</x:v>
      </x:c>
      <x:c r="D33" s="41"/>
      <x:c r="E33" s="41"/>
      <x:c r="F33" s="42" t="n">
        <x:f>IF($E$6="Valid",IF(F32&gt;0,F31/F32,"n.a."),"n.a.")</x:f>
        <x:v>0.7839207435469461</x:v>
      </x:c>
      <x:c r="G33" s="3"/>
      <x:c r="H33" s="3" t="str">
        <x:v>2037 net reinvestment</x:v>
      </x:c>
      <x:c r="I33" s="3"/>
      <x:c r="J33" s="3"/>
      <x:c r="K33" s="3"/>
      <x:c r="L33" s="19" t="n">
        <x:f>IF($E$6="Valid",L31*L32,"n.a.")</x:f>
        <x:v>16.07698929241366</x:v>
      </x:c>
      <x:c r="M33" s="3"/>
      <x:c r="N33" s="3"/>
    </x:row>
    <x:row r="34" ht="20" customHeight="1">
      <x:c r="A34" s="3"/>
      <x:c r="B34" s="3"/>
      <x:c r="C34" s="3" t="str">
        <x:v>Peak cumulative FCFF deficit</x:v>
      </x:c>
      <x:c r="D34" s="3"/>
      <x:c r="E34" s="3"/>
      <x:c r="F34" s="19" t="n">
        <x:f>IF($E$6="Valid",-MIN(0,D24:N24),"n.a.")</x:f>
        <x:v>30.467746512499993</x:v>
      </x:c>
      <x:c r="G34" s="3"/>
      <x:c r="H34" s="3" t="str">
        <x:v>2037 FCFF</x:v>
      </x:c>
      <x:c r="I34" s="3"/>
      <x:c r="J34" s="3"/>
      <x:c r="K34" s="3"/>
      <x:c r="L34" s="19" t="n">
        <x:f>IF($E$6="Valid",L31-L33,"n.a.")</x:f>
        <x:v>91.10293932367742</x:v>
      </x:c>
      <x:c r="M34" s="3"/>
      <x:c r="N34" s="3"/>
    </x:row>
    <x:row r="35" ht="20" customHeight="1">
      <x:c r="A35" s="3"/>
      <x:c r="B35" s="3"/>
      <x:c r="C35" s="3"/>
      <x:c r="D35" s="3"/>
      <x:c r="E35" s="3"/>
      <x:c r="F35" s="19"/>
      <x:c r="G35" s="3"/>
      <x:c r="H35" s="3" t="str">
        <x:v>Terminal value at 12/31/2036</x:v>
      </x:c>
      <x:c r="I35" s="3"/>
      <x:c r="J35" s="3"/>
      <x:c r="K35" s="3"/>
      <x:c r="L35" s="63" t="n">
        <x:f>IF($E$6="Valid",L34/('Assumptions'!$E$50-'Assumptions'!$E$55),"n.a.")</x:f>
        <x:v>958.9783086702886</x:v>
      </x:c>
      <x:c r="M35" s="3"/>
      <x:c r="N35" s="3"/>
    </x:row>
    <x:row r="36" ht="20" customHeight="1">
      <x:c r="A36" s="3"/>
      <x:c r="B36" s="3"/>
      <x:c r="C36" s="41" t="str">
        <x:v>Revenue CAGR, 2026–2036</x:v>
      </x:c>
      <x:c r="D36" s="41"/>
      <x:c r="E36" s="41"/>
      <x:c r="F36" s="42" t="n">
        <x:f>IF($E$6="Valid",(N10/D10)^(1/10)-1,"n.a.")</x:f>
        <x:v>0.2803806826697528</x:v>
      </x:c>
      <x:c r="G36" s="3"/>
      <x:c r="H36" s="3" t="str">
        <x:v>PV terminal value</x:v>
      </x:c>
      <x:c r="I36" s="3"/>
      <x:c r="J36" s="3"/>
      <x:c r="K36" s="3"/>
      <x:c r="L36" s="19" t="n">
        <x:f>IF($E$6="Valid",L35*N22,"n.a.")</x:f>
        <x:v>288.30354687449426</x:v>
      </x:c>
      <x:c r="M36" s="3"/>
      <x:c r="N36" s="3"/>
    </x:row>
    <x:row r="37" ht="20" customHeight="1">
      <x:c r="A37" s="3"/>
      <x:c r="B37" s="3"/>
      <x:c r="C37" s="3"/>
      <x:c r="D37" s="3"/>
      <x:c r="E37" s="3"/>
      <x:c r="F37" s="3"/>
      <x:c r="G37" s="3"/>
      <x:c r="H37" s="41" t="str">
        <x:v>FCFF change from 2036</x:v>
      </x:c>
      <x:c r="I37" s="41"/>
      <x:c r="J37" s="41"/>
      <x:c r="K37" s="41"/>
      <x:c r="L37" s="42" t="n">
        <x:f>IF($E$6="Valid",IF(N18&gt;0,L34/N18-1,"n.a."),"n.a.")</x:f>
        <x:v>0.18269298245614074</x:v>
      </x:c>
      <x:c r="M37" s="3"/>
      <x:c r="N37" s="3"/>
    </x:row>
    <x:row r="38" ht="20" customHeight="1">
      <x:c r="A38" s="3"/>
      <x:c r="B38" s="3"/>
      <x:c r="C38" s="3"/>
      <x:c r="D38" s="3"/>
      <x:c r="E38" s="3"/>
      <x:c r="F38" s="3"/>
      <x:c r="G38" s="3"/>
      <x:c r="H38" s="41" t="str">
        <x:v>Implied incremental ROIC</x:v>
      </x:c>
      <x:c r="I38" s="41"/>
      <x:c r="J38" s="41"/>
      <x:c r="K38" s="41"/>
      <x:c r="L38" s="66" t="n">
        <x:f>IF($E$6="Valid",'Assumptions'!$E$40*(1-'Assumptions'!$E$70)*'Assumptions'!$E$45,"n.a.")</x:f>
        <x:v>0.41250000000000003</x:v>
      </x:c>
      <x:c r="M38" s="3"/>
      <x:c r="N38" s="3"/>
    </x:row>
    <x:row r="39" ht="2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4" customHeight="1">
      <x:c r="A40" s="3"/>
      <x:c r="B40" s="3"/>
      <x:c r="C40" s="25" t="str">
        <x:v>Model diagnostics</x:v>
      </x:c>
      <x:c r="D40" s="25"/>
      <x:c r="E40" s="25"/>
      <x:c r="F40" s="25"/>
      <x:c r="G40" s="3"/>
      <x:c r="H40" s="3"/>
      <x:c r="I40" s="3"/>
      <x:c r="J40" s="3"/>
      <x:c r="K40" s="3"/>
      <x:c r="L40" s="3"/>
      <x:c r="M40" s="3"/>
      <x:c r="N40" s="3"/>
    </x:row>
    <x:row r="41" ht="20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 ht="20" customHeight="1">
      <x:c r="A42" s="3"/>
      <x:c r="B42" s="3"/>
      <x:c r="C42" s="3" t="str">
        <x:v>Terminal share above 75%</x:v>
      </x:c>
      <x:c r="D42" s="3"/>
      <x:c r="E42" s="3"/>
      <x:c r="F42" s="3" t="str">
        <x:f>IF($E$6="Valid",IF(ISNUMBER(F33),IF(F33&gt;0.75,"Review","Within threshold"),"n.a."),"n.a.")</x:f>
        <x:v>Review</x:v>
      </x:c>
      <x:c r="G42" s="3"/>
      <x:c r="H42" s="3" t="str">
        <x:v>Diagnostics read the build. They never control business calculations.</x:v>
      </x:c>
      <x:c r="I42" s="3"/>
      <x:c r="J42" s="3"/>
      <x:c r="K42" s="3"/>
      <x:c r="L42" s="3"/>
      <x:c r="M42" s="3"/>
      <x:c r="N42" s="3"/>
    </x:row>
    <x:row r="43" ht="20" customHeight="1">
      <x:c r="A43" s="3"/>
      <x:c r="B43" s="3"/>
      <x:c r="C43" s="3" t="str">
        <x:v>Terminal FCFF change above ±25%</x:v>
      </x:c>
      <x:c r="D43" s="3"/>
      <x:c r="E43" s="3"/>
      <x:c r="F43" s="3" t="str">
        <x:f>IF($E$6="Valid",IF(ISNUMBER(L37),IF(ABS(L37)&gt;0.25,"Review","Within threshold"),"n.a."),"n.a.")</x:f>
        <x:v>Within threshold</x:v>
      </x:c>
      <x:c r="G43" s="3"/>
      <x:c r="H43" s="3"/>
      <x:c r="I43" s="3"/>
      <x:c r="J43" s="3"/>
      <x:c r="K43" s="3"/>
      <x:c r="L43" s="3"/>
      <x:c r="M43" s="3"/>
      <x:c r="N43" s="3"/>
    </x:row>
    <x:row r="44" ht="20" customHeight="1">
      <x:c r="A44" s="3"/>
      <x:c r="B44" s="3"/>
      <x:c r="C44" s="3" t="str">
        <x:v>ROIC transition above ±5 points</x:v>
      </x:c>
      <x:c r="D44" s="3"/>
      <x:c r="E44" s="3"/>
      <x:c r="F44" s="3" t="str">
        <x:f>IF($E$6="Valid",IF(ABS(L38-'Assumptions'!$E$60)&gt;0.05,"Review","Within threshold"),"n.a.")</x:f>
        <x:v>Review</x:v>
      </x:c>
      <x:c r="G44" s="3"/>
      <x:c r="H44" s="3" t="str">
        <x:v>The FCFF deficit excludes opening liquidity, financing and intrayear timing.</x:v>
      </x:c>
      <x:c r="I44" s="3"/>
      <x:c r="J44" s="3"/>
      <x:c r="K44" s="3"/>
      <x:c r="L44" s="3"/>
      <x:c r="M44" s="3"/>
      <x:c r="N44" s="3"/>
    </x:row>
    <x:row r="45" ht="20" customHeight="1">
      <x:c r="A45" s="3"/>
      <x:c r="B45" s="3"/>
      <x:c r="C45" s="3" t="str">
        <x:v>Terminal ROIC below WACC</x:v>
      </x:c>
      <x:c r="D45" s="3"/>
      <x:c r="E45" s="3"/>
      <x:c r="F45" s="3" t="str">
        <x:f>IF($E$6="Valid",IF('Assumptions'!$E$60&lt;'Assumptions'!$E$50,"Review","No"),"n.a.")</x:f>
        <x:v>No</x:v>
      </x:c>
      <x:c r="G45" s="3"/>
      <x:c r="H45" s="3"/>
      <x:c r="I45" s="3"/>
      <x:c r="J45" s="3"/>
      <x:c r="K45" s="3"/>
      <x:c r="L45" s="3"/>
      <x:c r="M45" s="3"/>
      <x:c r="N45" s="3"/>
    </x:row>
    <x:row r="46" ht="20" customHeight="1">
      <x:c r="A46" s="3"/>
      <x:c r="B46" s="3"/>
      <x:c r="C46" s="3" t="str">
        <x:v>Nonpositive enterprise value</x:v>
      </x:c>
      <x:c r="D46" s="3"/>
      <x:c r="E46" s="3"/>
      <x:c r="F46" s="3" t="str">
        <x:f>IF($E$6="Valid",IF(F32&lt;=0,"Review","No"),"n.a.")</x:f>
        <x:v>No</x:v>
      </x:c>
      <x:c r="G46" s="3"/>
      <x:c r="H46" s="3" t="str">
        <x:v>No current cash/debt bridge or equity preference waterfall is assumed.</x:v>
      </x:c>
      <x:c r="I46" s="3"/>
      <x:c r="J46" s="3"/>
      <x:c r="K46" s="3"/>
      <x:c r="L46" s="3"/>
      <x:c r="M46" s="3"/>
      <x:c r="N46" s="3"/>
    </x:row>
    <x:row r="47" ht="20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</x:row>
    <x:row r="48" ht="20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</x:row>
    <x:row r="50" ht="24" customHeight="1">
      <x:c r="A50" s="3"/>
      <x:c r="B50" s="3"/>
      <x:c r="C50" s="25" t="str">
        <x:v>FY2026 estimate bridge</x:v>
      </x:c>
      <x:c r="D50" s="25"/>
      <x:c r="E50" s="25"/>
      <x:c r="F50" s="25"/>
      <x:c r="G50" s="3"/>
      <x:c r="H50" s="3"/>
      <x:c r="I50" s="3"/>
      <x:c r="J50" s="3"/>
      <x:c r="K50" s="3"/>
      <x:c r="L50" s="3"/>
      <x:c r="M50" s="3"/>
      <x:c r="N50" s="3"/>
    </x:row>
    <x:row r="51" ht="20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</x:row>
    <x:row r="52" ht="20" customHeight="1">
      <x:c r="A52" s="3"/>
      <x:c r="B52" s="3"/>
      <x:c r="C52" s="3" t="str">
        <x:v>Reported Q1:26 revenue</x:v>
      </x:c>
      <x:c r="D52" s="3"/>
      <x:c r="E52" s="3"/>
      <x:c r="F52" s="63" t="n">
        <x:f>'Sources'!E11</x:f>
        <x:v>4.7</x:v>
      </x:c>
      <x:c r="G52" s="3"/>
      <x:c r="H52" s="3" t="str">
        <x:v>Reported quarters: Reuters, October 14–15, 2026. Source S18.</x:v>
      </x:c>
      <x:c r="I52" s="3"/>
      <x:c r="J52" s="3"/>
      <x:c r="K52" s="3"/>
      <x:c r="L52" s="3"/>
      <x:c r="M52" s="3"/>
      <x:c r="N52" s="3"/>
    </x:row>
    <x:row r="53" ht="20" customHeight="1">
      <x:c r="A53" s="3"/>
      <x:c r="B53" s="3"/>
      <x:c r="C53" s="3" t="str">
        <x:v>Reported Q2:26 revenue</x:v>
      </x:c>
      <x:c r="D53" s="3"/>
      <x:c r="E53" s="3"/>
      <x:c r="F53" s="63" t="n">
        <x:f>'Sources'!E12</x:f>
        <x:v>11.6</x:v>
      </x:c>
      <x:c r="G53" s="3"/>
      <x:c r="H53" s="3"/>
      <x:c r="I53" s="3"/>
      <x:c r="J53" s="3"/>
      <x:c r="K53" s="3"/>
      <x:c r="L53" s="3"/>
      <x:c r="M53" s="3"/>
      <x:c r="N53" s="3"/>
    </x:row>
    <x:row r="54" ht="20" customHeight="1">
      <x:c r="A54" s="3"/>
      <x:c r="B54" s="3"/>
      <x:c r="C54" s="3" t="str">
        <x:v>Reported Q3:26 revenue</x:v>
      </x:c>
      <x:c r="D54" s="3"/>
      <x:c r="E54" s="3"/>
      <x:c r="F54" s="63" t="n">
        <x:f>'Sources'!E13</x:f>
        <x:v>16.8</x:v>
      </x:c>
      <x:c r="G54" s="3"/>
      <x:c r="H54" s="3" t="str">
        <x:v>Q4 is an analyst estimate implied by the editable FY2026 assumption.</x:v>
      </x:c>
      <x:c r="I54" s="3"/>
      <x:c r="J54" s="3"/>
      <x:c r="K54" s="3"/>
      <x:c r="L54" s="3"/>
      <x:c r="M54" s="3"/>
      <x:c r="N54" s="3"/>
    </x:row>
    <x:row r="55" ht="20" customHeight="1">
      <x:c r="A55" s="3"/>
      <x:c r="B55" s="3"/>
      <x:c r="C55" s="3" t="str">
        <x:v>Reported nine-month revenue</x:v>
      </x:c>
      <x:c r="D55" s="3"/>
      <x:c r="E55" s="3"/>
      <x:c r="F55" s="19" t="n">
        <x:f>SUM(F52:F54)</x:f>
        <x:v>33.1</x:v>
      </x:c>
      <x:c r="G55" s="3"/>
      <x:c r="H55" s="3"/>
      <x:c r="I55" s="3"/>
      <x:c r="J55" s="3"/>
      <x:c r="K55" s="3"/>
      <x:c r="L55" s="3"/>
      <x:c r="M55" s="3"/>
      <x:c r="N55" s="3"/>
    </x:row>
    <x:row r="56" ht="20" customHeight="1">
      <x:c r="A56" s="3"/>
      <x:c r="B56" s="3"/>
      <x:c r="C56" s="3" t="str">
        <x:v>Implied Q4 estimate</x:v>
      </x:c>
      <x:c r="D56" s="3"/>
      <x:c r="E56" s="3"/>
      <x:c r="F56" s="19" t="n">
        <x:f>IF($E$6="Valid",D10-F55,"n.a.")</x:f>
        <x:v>20.159999999999997</x:v>
      </x:c>
      <x:c r="G56" s="3"/>
      <x:c r="H56" s="3" t="str">
        <x:v>The default Base Q4 estimate is $20.16B. No FY2026 actual is claimed.</x:v>
      </x:c>
      <x:c r="I56" s="3"/>
      <x:c r="J56" s="3"/>
      <x:c r="K56" s="3"/>
      <x:c r="L56" s="3"/>
      <x:c r="M56" s="3"/>
      <x:c r="N56" s="3"/>
    </x:row>
    <x:row r="57" ht="20" customHeight="1">
      <x:c r="A57" s="3"/>
      <x:c r="B57" s="3"/>
      <x:c r="C57" s="3" t="str">
        <x:v>Active FY2026 revenue estimate</x:v>
      </x:c>
      <x:c r="D57" s="3"/>
      <x:c r="E57" s="3"/>
      <x:c r="F57" s="19" t="n">
        <x:f>IF($E$6="Valid",SUM(F55:F56),"n.a.")</x:f>
        <x:v>53.26</x:v>
      </x:c>
      <x:c r="G57" s="3"/>
      <x:c r="H57" s="3"/>
      <x:c r="I57" s="3"/>
      <x:c r="J57" s="3"/>
      <x:c r="K57" s="3"/>
      <x:c r="L57" s="3"/>
      <x:c r="M57" s="3"/>
      <x:c r="N57" s="3"/>
    </x:row>
    <x:row r="58" ht="20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</x:row>
    <x:row r="59" ht="20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</x:row>
    <x:row r="60" ht="20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0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</x:sheetData>
  <x:conditionalFormatting sqref="E6:E6">
    <x:cfRule type="expression" dxfId="133" priority="1">
      <x:formula>E6&lt;&gt;"Valid"</x:formula>
    </x:cfRule>
  </x:conditionalFormatting>
  <x:conditionalFormatting sqref="F42:F42">
    <x:cfRule type="expression" dxfId="134" priority="2">
      <x:formula>F42="Review"</x:formula>
    </x:cfRule>
  </x:conditionalFormatting>
  <x:conditionalFormatting sqref="F43:F43">
    <x:cfRule type="expression" dxfId="135" priority="3">
      <x:formula>F43="Review"</x:formula>
    </x:cfRule>
  </x:conditionalFormatting>
  <x:conditionalFormatting sqref="F44:F44">
    <x:cfRule type="expression" dxfId="136" priority="4">
      <x:formula>F44="Review"</x:formula>
    </x:cfRule>
  </x:conditionalFormatting>
  <x:conditionalFormatting sqref="F45:F45">
    <x:cfRule type="expression" dxfId="137" priority="5">
      <x:formula>F45="Review"</x:formula>
    </x:cfRule>
  </x:conditionalFormatting>
  <x:conditionalFormatting sqref="F46:F46">
    <x:cfRule type="expression" dxfId="138" priority="6">
      <x:formula>F46="Review"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47D73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37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9" customHeight="1">
      <x:c r="A2" s="3"/>
      <x:c r="B2" s="3"/>
      <x:c r="C2" s="4" t="str">
        <x:v>OpenAI forecast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0" customHeight="1">
      <x:c r="A3" s="3"/>
      <x:c r="B3" s="3"/>
      <x:c r="C3" s="6" t="str">
        <x:v>USD billions. Economic EBIT, net reinvestment and year-end FCFF.</x:v>
      </x:c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0" customHeight="1">
      <x:c r="A5" s="3"/>
      <x:c r="B5" s="3"/>
      <x:c r="C5" s="3" t="str">
        <x:v>Case selected:</x:v>
      </x:c>
      <x:c r="D5" s="3"/>
      <x:c r="E5" s="9" t="str">
        <x:f>'Assumptions'!F5</x:f>
        <x:v>Base</x:v>
      </x:c>
      <x:c r="F5" s="3"/>
      <x:c r="G5" s="3"/>
      <x:c r="H5" s="3" t="str">
        <x:v>Valuation date:</x:v>
      </x:c>
      <x:c r="I5" s="3"/>
      <x:c r="J5" s="68" t="n">
        <x:f>'Assumptions'!I5</x:f>
        <x:v>46313</x:v>
      </x:c>
      <x:c r="K5" s="3"/>
      <x:c r="L5" s="3"/>
      <x:c r="M5" s="3"/>
      <x:c r="N5" s="3"/>
    </x:row>
    <x:row r="6" ht="20" customHeight="1">
      <x:c r="A6" s="3"/>
      <x:c r="B6" s="3"/>
      <x:c r="C6" s="3" t="str">
        <x:v>Active assumptions:</x:v>
      </x:c>
      <x:c r="D6" s="3"/>
      <x:c r="E6" s="3" t="str">
        <x:f>IF('Assumptions'!F76,"Valid","Invalid")</x:f>
        <x:v>Valid</x:v>
      </x:c>
      <x:c r="F6" s="3"/>
      <x:c r="G6" s="3"/>
      <x:c r="H6" s="3" t="str">
        <x:v>Terminal year is fixed at 2036.</x:v>
      </x:c>
      <x:c r="I6" s="3"/>
      <x:c r="J6" s="3"/>
      <x:c r="K6" s="3"/>
      <x:c r="L6" s="3"/>
      <x:c r="M6" s="3"/>
      <x:c r="N6" s="3"/>
    </x:row>
    <x:row r="7" ht="2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2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24" customHeight="1">
      <x:c r="A9" s="3"/>
      <x:c r="B9" s="3"/>
      <x:c r="C9" s="15" t="str">
        <x:v>Calendar year</x:v>
      </x:c>
      <x:c r="D9" s="16" t="str">
        <x:v>2026 stub</x:v>
      </x:c>
      <x:c r="E9" s="16" t="n">
        <x:v>2027</x:v>
      </x:c>
      <x:c r="F9" s="16" t="n">
        <x:v>2028</x:v>
      </x:c>
      <x:c r="G9" s="16" t="n">
        <x:v>2029</x:v>
      </x:c>
      <x:c r="H9" s="16" t="n">
        <x:v>2030</x:v>
      </x:c>
      <x:c r="I9" s="16" t="n">
        <x:v>2031</x:v>
      </x:c>
      <x:c r="J9" s="16" t="n">
        <x:v>2032</x:v>
      </x:c>
      <x:c r="K9" s="16" t="n">
        <x:v>2033</x:v>
      </x:c>
      <x:c r="L9" s="16" t="n">
        <x:v>2034</x:v>
      </x:c>
      <x:c r="M9" s="16" t="n">
        <x:v>2035</x:v>
      </x:c>
      <x:c r="N9" s="17" t="n">
        <x:v>2036</x:v>
      </x:c>
    </x:row>
    <x:row r="10" ht="20" customHeight="1">
      <x:c r="A10" s="3"/>
      <x:c r="B10" s="3"/>
      <x:c r="C10" s="3" t="str">
        <x:v>Revenue</x:v>
      </x:c>
      <x:c r="D10" s="63" t="n">
        <x:f>IF($E$6="Valid",'Assumptions'!$F$10,"n.a.")</x:f>
        <x:v>35</x:v>
      </x:c>
      <x:c r="E10" s="19" t="n">
        <x:f>IF($E$6="Valid",D10*(1+E11),"n.a.")</x:f>
        <x:v>52.5</x:v>
      </x:c>
      <x:c r="F10" s="19" t="n">
        <x:f>IF($E$6="Valid",E10*(1+F11),"n.a.")</x:f>
        <x:v>78.75</x:v>
      </x:c>
      <x:c r="G10" s="19" t="n">
        <x:f>IF($E$6="Valid",F10*(1+G11),"n.a.")</x:f>
        <x:v>118.125</x:v>
      </x:c>
      <x:c r="H10" s="19" t="n">
        <x:f>IF($E$6="Valid",G10*(1+H11),"n.a.")</x:f>
        <x:v>177.1875</x:v>
      </x:c>
      <x:c r="I10" s="19" t="n">
        <x:f>IF($E$6="Valid",H10*(1+I11),"n.a.")</x:f>
        <x:v>223.25625</x:v>
      </x:c>
      <x:c r="J10" s="19" t="n">
        <x:f>IF($E$6="Valid",I10*(1+J11),"n.a.")</x:f>
        <x:v>281.302875</x:v>
      </x:c>
      <x:c r="K10" s="19" t="n">
        <x:f>IF($E$6="Valid",J10*(1+K11),"n.a.")</x:f>
        <x:v>354.4416225</x:v>
      </x:c>
      <x:c r="L10" s="19" t="n">
        <x:f>IF($E$6="Valid",K10*(1+L11),"n.a.")</x:f>
        <x:v>396.9746172</x:v>
      </x:c>
      <x:c r="M10" s="19" t="n">
        <x:f>IF($E$6="Valid",L10*(1+M11),"n.a.")</x:f>
        <x:v>444.6115712640001</x:v>
      </x:c>
      <x:c r="N10" s="19" t="n">
        <x:f>IF($E$6="Valid",M10*(1+N11),"n.a.")</x:f>
        <x:v>497.9649598156801</x:v>
      </x:c>
    </x:row>
    <x:row r="11" ht="20" customHeight="1">
      <x:c r="A11" s="3"/>
      <x:c r="B11" s="3"/>
      <x:c r="C11" s="41" t="str">
        <x:v>Revenue growth</x:v>
      </x:c>
      <x:c r="D11" s="42" t="str">
        <x:v>n.a.</x:v>
      </x:c>
      <x:c r="E11" s="66" t="n">
        <x:f>IF($E$6="Valid",'Assumptions'!$F$15,"n.a.")</x:f>
        <x:v>0.5</x:v>
      </x:c>
      <x:c r="F11" s="66" t="n">
        <x:f>IF($E$6="Valid",'Assumptions'!$F$15,"n.a.")</x:f>
        <x:v>0.5</x:v>
      </x:c>
      <x:c r="G11" s="66" t="n">
        <x:f>IF($E$6="Valid",'Assumptions'!$F$15,"n.a.")</x:f>
        <x:v>0.5</x:v>
      </x:c>
      <x:c r="H11" s="66" t="n">
        <x:f>IF($E$6="Valid",'Assumptions'!$F$15,"n.a.")</x:f>
        <x:v>0.5</x:v>
      </x:c>
      <x:c r="I11" s="66" t="n">
        <x:f>IF($E$6="Valid",'Assumptions'!$F$20,"n.a.")</x:f>
        <x:v>0.26</x:v>
      </x:c>
      <x:c r="J11" s="66" t="n">
        <x:f>IF($E$6="Valid",'Assumptions'!$F$20,"n.a.")</x:f>
        <x:v>0.26</x:v>
      </x:c>
      <x:c r="K11" s="66" t="n">
        <x:f>IF($E$6="Valid",'Assumptions'!$F$20,"n.a.")</x:f>
        <x:v>0.26</x:v>
      </x:c>
      <x:c r="L11" s="66" t="n">
        <x:f>IF($E$6="Valid",'Assumptions'!$F$25,"n.a.")</x:f>
        <x:v>0.12</x:v>
      </x:c>
      <x:c r="M11" s="66" t="n">
        <x:f>IF($E$6="Valid",'Assumptions'!$F$25,"n.a.")</x:f>
        <x:v>0.12</x:v>
      </x:c>
      <x:c r="N11" s="66" t="n">
        <x:f>IF($E$6="Valid",'Assumptions'!$F$25,"n.a.")</x:f>
        <x:v>0.12</x:v>
      </x:c>
    </x:row>
    <x:row r="12" ht="20" customHeight="1">
      <x:c r="A12" s="3"/>
      <x:c r="B12" s="3"/>
      <x:c r="C12" s="41" t="str">
        <x:v>Economic EBIT margin</x:v>
      </x:c>
      <x:c r="D12" s="42" t="str">
        <x:v>n.a.</x:v>
      </x:c>
      <x:c r="E12" s="66" t="n">
        <x:f>IF($E$6="Valid",IF(E$9&lt;=2030,'Assumptions'!$F$30+('Assumptions'!$F$35-'Assumptions'!$F$30)*(E$9-2027)/3,'Assumptions'!$F$35+('Assumptions'!$F$40-'Assumptions'!$F$35)*(E$9-2030)/6),"n.a.")</x:f>
        <x:v>-0.2</x:v>
      </x:c>
      <x:c r="F12" s="66" t="n">
        <x:f>IF($E$6="Valid",IF(F$9&lt;=2030,'Assumptions'!$F$30+('Assumptions'!$F$35-'Assumptions'!$F$30)*(F$9-2027)/3,'Assumptions'!$F$35+('Assumptions'!$F$40-'Assumptions'!$F$35)*(F$9-2030)/6),"n.a.")</x:f>
        <x:v>-0.09333333333333334</x:v>
      </x:c>
      <x:c r="G12" s="66" t="n">
        <x:f>IF($E$6="Valid",IF(G$9&lt;=2030,'Assumptions'!$F$30+('Assumptions'!$F$35-'Assumptions'!$F$30)*(G$9-2027)/3,'Assumptions'!$F$35+('Assumptions'!$F$40-'Assumptions'!$F$35)*(G$9-2030)/6),"n.a.")</x:f>
        <x:v>0.013333333333333336</x:v>
      </x:c>
      <x:c r="H12" s="66" t="n">
        <x:f>IF($E$6="Valid",IF(H$9&lt;=2030,'Assumptions'!$F$30+('Assumptions'!$F$35-'Assumptions'!$F$30)*(H$9-2027)/3,'Assumptions'!$F$35+('Assumptions'!$F$40-'Assumptions'!$F$35)*(H$9-2030)/6),"n.a.")</x:f>
        <x:v>0.12</x:v>
      </x:c>
      <x:c r="I12" s="66" t="n">
        <x:f>IF($E$6="Valid",IF(I$9&lt;=2030,'Assumptions'!$F$30+('Assumptions'!$F$35-'Assumptions'!$F$30)*(I$9-2027)/3,'Assumptions'!$F$35+('Assumptions'!$F$40-'Assumptions'!$F$35)*(I$9-2030)/6),"n.a.")</x:f>
        <x:v>0.14166666666666666</x:v>
      </x:c>
      <x:c r="J12" s="66" t="n">
        <x:f>IF($E$6="Valid",IF(J$9&lt;=2030,'Assumptions'!$F$30+('Assumptions'!$F$35-'Assumptions'!$F$30)*(J$9-2027)/3,'Assumptions'!$F$35+('Assumptions'!$F$40-'Assumptions'!$F$35)*(J$9-2030)/6),"n.a.")</x:f>
        <x:v>0.16333333333333333</x:v>
      </x:c>
      <x:c r="K12" s="66" t="n">
        <x:f>IF($E$6="Valid",IF(K$9&lt;=2030,'Assumptions'!$F$30+('Assumptions'!$F$35-'Assumptions'!$F$30)*(K$9-2027)/3,'Assumptions'!$F$35+('Assumptions'!$F$40-'Assumptions'!$F$35)*(K$9-2030)/6),"n.a.")</x:f>
        <x:v>0.185</x:v>
      </x:c>
      <x:c r="L12" s="66" t="n">
        <x:f>IF($E$6="Valid",IF(L$9&lt;=2030,'Assumptions'!$F$30+('Assumptions'!$F$35-'Assumptions'!$F$30)*(L$9-2027)/3,'Assumptions'!$F$35+('Assumptions'!$F$40-'Assumptions'!$F$35)*(L$9-2030)/6),"n.a.")</x:f>
        <x:v>0.20666666666666667</x:v>
      </x:c>
      <x:c r="M12" s="66" t="n">
        <x:f>IF($E$6="Valid",IF(M$9&lt;=2030,'Assumptions'!$F$30+('Assumptions'!$F$35-'Assumptions'!$F$30)*(M$9-2027)/3,'Assumptions'!$F$35+('Assumptions'!$F$40-'Assumptions'!$F$35)*(M$9-2030)/6),"n.a.")</x:f>
        <x:v>0.22833333333333333</x:v>
      </x:c>
      <x:c r="N12" s="66" t="n">
        <x:f>IF($E$6="Valid",IF(N$9&lt;=2030,'Assumptions'!$F$30+('Assumptions'!$F$35-'Assumptions'!$F$30)*(N$9-2027)/3,'Assumptions'!$F$35+('Assumptions'!$F$40-'Assumptions'!$F$35)*(N$9-2030)/6),"n.a.")</x:f>
        <x:v>0.25</x:v>
      </x:c>
    </x:row>
    <x:row r="13" ht="20" customHeight="1">
      <x:c r="A13" s="3"/>
      <x:c r="B13" s="3"/>
      <x:c r="C13" s="3" t="str">
        <x:v>Economic EBIT</x:v>
      </x:c>
      <x:c r="D13" s="52" t="str">
        <x:v>n.a.</x:v>
      </x:c>
      <x:c r="E13" s="52" t="n">
        <x:f>IF($E$6="Valid",E10*E12,"n.a.")</x:f>
        <x:v>-10.5</x:v>
      </x:c>
      <x:c r="F13" s="52" t="n">
        <x:f>IF($E$6="Valid",F10*F12,"n.a.")</x:f>
        <x:v>-7.3500000000000005</x:v>
      </x:c>
      <x:c r="G13" s="52" t="n">
        <x:f>IF($E$6="Valid",G10*G12,"n.a.")</x:f>
        <x:v>1.5750000000000004</x:v>
      </x:c>
      <x:c r="H13" s="52" t="n">
        <x:f>IF($E$6="Valid",H10*H12,"n.a.")</x:f>
        <x:v>21.2625</x:v>
      </x:c>
      <x:c r="I13" s="52" t="n">
        <x:f>IF($E$6="Valid",I10*I12,"n.a.")</x:f>
        <x:v>31.627968749999997</x:v>
      </x:c>
      <x:c r="J13" s="52" t="n">
        <x:f>IF($E$6="Valid",J10*J12,"n.a.")</x:f>
        <x:v>45.946136249999995</x:v>
      </x:c>
      <x:c r="K13" s="52" t="n">
        <x:f>IF($E$6="Valid",K10*K12,"n.a.")</x:f>
        <x:v>65.5717001625</x:v>
      </x:c>
      <x:c r="L13" s="52" t="n">
        <x:f>IF($E$6="Valid",L10*L12,"n.a.")</x:f>
        <x:v>82.041420888</x:v>
      </x:c>
      <x:c r="M13" s="52" t="n">
        <x:f>IF($E$6="Valid",M10*M12,"n.a.")</x:f>
        <x:v>101.51964210528001</x:v>
      </x:c>
      <x:c r="N13" s="52" t="n">
        <x:f>IF($E$6="Valid",N10*N12,"n.a.")</x:f>
        <x:v>124.49123995392003</x:v>
      </x:c>
    </x:row>
    <x:row r="14" ht="20" customHeight="1">
      <x:c r="A14" s="3"/>
      <x:c r="B14" s="3"/>
      <x:c r="C14" s="3" t="str">
        <x:v>Tax on positive EBIT</x:v>
      </x:c>
      <x:c r="D14" s="52" t="str">
        <x:v>n.a.</x:v>
      </x:c>
      <x:c r="E14" s="67" t="n">
        <x:f>IF($E$6="Valid",MAX(0,E13)*'Assumptions'!$F$70,"n.a.")</x:f>
        <x:v>0</x:v>
      </x:c>
      <x:c r="F14" s="67" t="n">
        <x:f>IF($E$6="Valid",MAX(0,F13)*'Assumptions'!$F$70,"n.a.")</x:f>
        <x:v>0</x:v>
      </x:c>
      <x:c r="G14" s="67" t="n">
        <x:f>IF($E$6="Valid",MAX(0,G13)*'Assumptions'!$F$70,"n.a.")</x:f>
        <x:v>0.3937500000000001</x:v>
      </x:c>
      <x:c r="H14" s="67" t="n">
        <x:f>IF($E$6="Valid",MAX(0,H13)*'Assumptions'!$F$70,"n.a.")</x:f>
        <x:v>5.315625</x:v>
      </x:c>
      <x:c r="I14" s="67" t="n">
        <x:f>IF($E$6="Valid",MAX(0,I13)*'Assumptions'!$F$70,"n.a.")</x:f>
        <x:v>7.906992187499999</x:v>
      </x:c>
      <x:c r="J14" s="67" t="n">
        <x:f>IF($E$6="Valid",MAX(0,J13)*'Assumptions'!$F$70,"n.a.")</x:f>
        <x:v>11.486534062499999</x:v>
      </x:c>
      <x:c r="K14" s="67" t="n">
        <x:f>IF($E$6="Valid",MAX(0,K13)*'Assumptions'!$F$70,"n.a.")</x:f>
        <x:v>16.392925040625</x:v>
      </x:c>
      <x:c r="L14" s="67" t="n">
        <x:f>IF($E$6="Valid",MAX(0,L13)*'Assumptions'!$F$70,"n.a.")</x:f>
        <x:v>20.510355222</x:v>
      </x:c>
      <x:c r="M14" s="67" t="n">
        <x:f>IF($E$6="Valid",MAX(0,M13)*'Assumptions'!$F$70,"n.a.")</x:f>
        <x:v>25.379910526320003</x:v>
      </x:c>
      <x:c r="N14" s="67" t="n">
        <x:f>IF($E$6="Valid",MAX(0,N13)*'Assumptions'!$F$70,"n.a.")</x:f>
        <x:v>31.122809988480007</x:v>
      </x:c>
    </x:row>
    <x:row r="15" ht="20" customHeight="1">
      <x:c r="A15" s="3"/>
      <x:c r="B15" s="3"/>
      <x:c r="C15" s="57" t="str">
        <x:v>NOPAT</x:v>
      </x:c>
      <x:c r="D15" s="58" t="str">
        <x:v>n.a.</x:v>
      </x:c>
      <x:c r="E15" s="58" t="n">
        <x:f>IF($E$6="Valid",E13-E14,"n.a.")</x:f>
        <x:v>-10.5</x:v>
      </x:c>
      <x:c r="F15" s="58" t="n">
        <x:f>IF($E$6="Valid",F13-F14,"n.a.")</x:f>
        <x:v>-7.3500000000000005</x:v>
      </x:c>
      <x:c r="G15" s="58" t="n">
        <x:f>IF($E$6="Valid",G13-G14,"n.a.")</x:f>
        <x:v>1.1812500000000004</x:v>
      </x:c>
      <x:c r="H15" s="58" t="n">
        <x:f>IF($E$6="Valid",H13-H14,"n.a.")</x:f>
        <x:v>15.946874999999999</x:v>
      </x:c>
      <x:c r="I15" s="58" t="n">
        <x:f>IF($E$6="Valid",I13-I14,"n.a.")</x:f>
        <x:v>23.7209765625</x:v>
      </x:c>
      <x:c r="J15" s="58" t="n">
        <x:f>IF($E$6="Valid",J13-J14,"n.a.")</x:f>
        <x:v>34.459602187499996</x:v>
      </x:c>
      <x:c r="K15" s="58" t="n">
        <x:f>IF($E$6="Valid",K13-K14,"n.a.")</x:f>
        <x:v>49.17877512187499</x:v>
      </x:c>
      <x:c r="L15" s="58" t="n">
        <x:f>IF($E$6="Valid",L13-L14,"n.a.")</x:f>
        <x:v>61.531065666</x:v>
      </x:c>
      <x:c r="M15" s="58" t="n">
        <x:f>IF($E$6="Valid",M13-M14,"n.a.")</x:f>
        <x:v>76.13973157896001</x:v>
      </x:c>
      <x:c r="N15" s="58" t="n">
        <x:f>IF($E$6="Valid",N13-N14,"n.a.")</x:f>
        <x:v>93.36842996544001</x:v>
      </x:c>
    </x:row>
    <x:row r="16" ht="20" customHeight="1">
      <x:c r="A16" s="3"/>
      <x:c r="B16" s="3"/>
      <x:c r="C16" s="3" t="str">
        <x:v>Net reinvestment</x:v>
      </x:c>
      <x:c r="D16" s="52" t="str">
        <x:v>n.a.</x:v>
      </x:c>
      <x:c r="E16" s="67" t="n">
        <x:f>IF($E$6="Valid",(E10-D10)/'Assumptions'!$F$45,"n.a.")</x:f>
        <x:v>8.75</x:v>
      </x:c>
      <x:c r="F16" s="67" t="n">
        <x:f>IF($E$6="Valid",(F10-E10)/'Assumptions'!$F$45,"n.a.")</x:f>
        <x:v>13.125</x:v>
      </x:c>
      <x:c r="G16" s="67" t="n">
        <x:f>IF($E$6="Valid",(G10-F10)/'Assumptions'!$F$45,"n.a.")</x:f>
        <x:v>19.6875</x:v>
      </x:c>
      <x:c r="H16" s="67" t="n">
        <x:f>IF($E$6="Valid",(H10-G10)/'Assumptions'!$F$45,"n.a.")</x:f>
        <x:v>29.53125</x:v>
      </x:c>
      <x:c r="I16" s="67" t="n">
        <x:f>IF($E$6="Valid",(I10-H10)/'Assumptions'!$F$45,"n.a.")</x:f>
        <x:v>23.034374999999997</x:v>
      </x:c>
      <x:c r="J16" s="67" t="n">
        <x:f>IF($E$6="Valid",(J10-I10)/'Assumptions'!$F$45,"n.a.")</x:f>
        <x:v>29.02331249999999</x:v>
      </x:c>
      <x:c r="K16" s="67" t="n">
        <x:f>IF($E$6="Valid",(K10-J10)/'Assumptions'!$F$45,"n.a.")</x:f>
        <x:v>36.56937375000001</x:v>
      </x:c>
      <x:c r="L16" s="67" t="n">
        <x:f>IF($E$6="Valid",(L10-K10)/'Assumptions'!$F$45,"n.a.")</x:f>
        <x:v>21.26649735000001</x:v>
      </x:c>
      <x:c r="M16" s="67" t="n">
        <x:f>IF($E$6="Valid",(M10-L10)/'Assumptions'!$F$45,"n.a.")</x:f>
        <x:v>23.818477032000033</x:v>
      </x:c>
      <x:c r="N16" s="67" t="n">
        <x:f>IF($E$6="Valid",(N10-M10)/'Assumptions'!$F$45,"n.a.")</x:f>
        <x:v>26.67669427584002</x:v>
      </x:c>
    </x:row>
    <x:row r="17" ht="20" customHeight="1">
      <x:c r="A17" s="3"/>
      <x:c r="B17" s="3"/>
      <x:c r="C17" s="3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</x:row>
    <x:row r="18" ht="20" customHeight="1">
      <x:c r="A18" s="3"/>
      <x:c r="B18" s="3"/>
      <x:c r="C18" s="61" t="str">
        <x:v>FCFF</x:v>
      </x:c>
      <x:c r="D18" s="64" t="n">
        <x:f>IF($E$6="Valid",'Assumptions'!$F$65,"n.a.")</x:f>
        <x:v>-8</x:v>
      </x:c>
      <x:c r="E18" s="62" t="n">
        <x:f>IF($E$6="Valid",E15-E16,"n.a.")</x:f>
        <x:v>-19.25</x:v>
      </x:c>
      <x:c r="F18" s="62" t="n">
        <x:f>IF($E$6="Valid",F15-F16,"n.a.")</x:f>
        <x:v>-20.475</x:v>
      </x:c>
      <x:c r="G18" s="62" t="n">
        <x:f>IF($E$6="Valid",G15-G16,"n.a.")</x:f>
        <x:v>-18.50625</x:v>
      </x:c>
      <x:c r="H18" s="62" t="n">
        <x:f>IF($E$6="Valid",H15-H16,"n.a.")</x:f>
        <x:v>-13.584375000000001</x:v>
      </x:c>
      <x:c r="I18" s="62" t="n">
        <x:f>IF($E$6="Valid",I15-I16,"n.a.")</x:f>
        <x:v>0.6866015625000017</x:v>
      </x:c>
      <x:c r="J18" s="62" t="n">
        <x:f>IF($E$6="Valid",J15-J16,"n.a.")</x:f>
        <x:v>5.4362896875000075</x:v>
      </x:c>
      <x:c r="K18" s="62" t="n">
        <x:f>IF($E$6="Valid",K15-K16,"n.a.")</x:f>
        <x:v>12.60940137187498</x:v>
      </x:c>
      <x:c r="L18" s="62" t="n">
        <x:f>IF($E$6="Valid",L15-L16,"n.a.")</x:f>
        <x:v>40.264568315999995</x:v>
      </x:c>
      <x:c r="M18" s="62" t="n">
        <x:f>IF($E$6="Valid",M15-M16,"n.a.")</x:f>
        <x:v>52.32125454695998</x:v>
      </x:c>
      <x:c r="N18" s="62" t="n">
        <x:f>IF($E$6="Valid",N15-N16,"n.a.")</x:f>
        <x:v>66.6917356896</x:v>
      </x:c>
    </x:row>
    <x:row r="19" ht="20" customHeight="1">
      <x:c r="A19" s="3"/>
      <x:c r="B19" s="3"/>
      <x:c r="C19" s="3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</x:row>
    <x:row r="20" ht="20" customHeight="1">
      <x:c r="A20" s="3"/>
      <x:c r="B20" s="3"/>
      <x:c r="C20" s="3" t="str">
        <x:v>Cash flow date</x:v>
      </x:c>
      <x:c r="D20" s="20" t="n">
        <x:f>DATE(2026,12,31)</x:f>
        <x:v>46387</x:v>
      </x:c>
      <x:c r="E20" s="20" t="n">
        <x:f>DATE(E$9,12,31)</x:f>
        <x:v>46752</x:v>
      </x:c>
      <x:c r="F20" s="20" t="n">
        <x:f>DATE(F$9,12,31)</x:f>
        <x:v>47118</x:v>
      </x:c>
      <x:c r="G20" s="20" t="n">
        <x:f>DATE(G$9,12,31)</x:f>
        <x:v>47483</x:v>
      </x:c>
      <x:c r="H20" s="20" t="n">
        <x:f>DATE(H$9,12,31)</x:f>
        <x:v>47848</x:v>
      </x:c>
      <x:c r="I20" s="20" t="n">
        <x:f>DATE(I$9,12,31)</x:f>
        <x:v>48213</x:v>
      </x:c>
      <x:c r="J20" s="20" t="n">
        <x:f>DATE(J$9,12,31)</x:f>
        <x:v>48579</x:v>
      </x:c>
      <x:c r="K20" s="20" t="n">
        <x:f>DATE(K$9,12,31)</x:f>
        <x:v>48944</x:v>
      </x:c>
      <x:c r="L20" s="20" t="n">
        <x:f>DATE(L$9,12,31)</x:f>
        <x:v>49309</x:v>
      </x:c>
      <x:c r="M20" s="20" t="n">
        <x:f>DATE(M$9,12,31)</x:f>
        <x:v>49674</x:v>
      </x:c>
      <x:c r="N20" s="20" t="n">
        <x:f>DATE(N$9,12,31)</x:f>
        <x:v>50040</x:v>
      </x:c>
    </x:row>
    <x:row r="21" ht="20" customHeight="1">
      <x:c r="A21" s="3"/>
      <x:c r="B21" s="3"/>
      <x:c r="C21" s="41" t="str">
        <x:v>Years from valuation date</x:v>
      </x:c>
      <x:c r="D21" s="65" t="n">
        <x:f>IF($E$6="Valid",(D20-'Assumptions'!$I$5)/365.25,"n.a.")</x:f>
        <x:v>0.2026009582477755</x:v>
      </x:c>
      <x:c r="E21" s="65" t="n">
        <x:f>IF($E$6="Valid",(E20-'Assumptions'!$I$5)/365.25,"n.a.")</x:f>
        <x:v>1.2019164955509924</x:v>
      </x:c>
      <x:c r="F21" s="65" t="n">
        <x:f>IF($E$6="Valid",(F20-'Assumptions'!$I$5)/365.25,"n.a.")</x:f>
        <x:v>2.2039698836413417</x:v>
      </x:c>
      <x:c r="G21" s="65" t="n">
        <x:f>IF($E$6="Valid",(G20-'Assumptions'!$I$5)/365.25,"n.a.")</x:f>
        <x:v>3.2032854209445585</x:v>
      </x:c>
      <x:c r="H21" s="65" t="n">
        <x:f>IF($E$6="Valid",(H20-'Assumptions'!$I$5)/365.25,"n.a.")</x:f>
        <x:v>4.202600958247776</x:v>
      </x:c>
      <x:c r="I21" s="65" t="n">
        <x:f>IF($E$6="Valid",(I20-'Assumptions'!$I$5)/365.25,"n.a.")</x:f>
        <x:v>5.201916495550993</x:v>
      </x:c>
      <x:c r="J21" s="65" t="n">
        <x:f>IF($E$6="Valid",(J20-'Assumptions'!$I$5)/365.25,"n.a.")</x:f>
        <x:v>6.203969883641341</x:v>
      </x:c>
      <x:c r="K21" s="65" t="n">
        <x:f>IF($E$6="Valid",(K20-'Assumptions'!$I$5)/365.25,"n.a.")</x:f>
        <x:v>7.2032854209445585</x:v>
      </x:c>
      <x:c r="L21" s="65" t="n">
        <x:f>IF($E$6="Valid",(L20-'Assumptions'!$I$5)/365.25,"n.a.")</x:f>
        <x:v>8.202600958247775</x:v>
      </x:c>
      <x:c r="M21" s="65" t="n">
        <x:f>IF($E$6="Valid",(M20-'Assumptions'!$I$5)/365.25,"n.a.")</x:f>
        <x:v>9.201916495550993</x:v>
      </x:c>
      <x:c r="N21" s="65" t="n">
        <x:f>IF($E$6="Valid",(N20-'Assumptions'!$I$5)/365.25,"n.a.")</x:f>
        <x:v>10.203969883641342</x:v>
      </x:c>
    </x:row>
    <x:row r="22" ht="20" customHeight="1">
      <x:c r="A22" s="3"/>
      <x:c r="B22" s="3"/>
      <x:c r="C22" s="41" t="str">
        <x:v>Discount factor</x:v>
      </x:c>
      <x:c r="D22" s="65" t="n">
        <x:f>IF($E$6="Valid",(1+'Assumptions'!$F$50)^(-D21),"n.a.")</x:f>
        <x:v>0.9764195131330502</x:v>
      </x:c>
      <x:c r="E22" s="65" t="n">
        <x:f>IF($E$6="Valid",(1+'Assumptions'!$F$50)^(-E21),"n.a.")</x:f>
        <x:v>0.8679984296768486</x:v>
      </x:c>
      <x:c r="F22" s="65" t="n">
        <x:f>IF($E$6="Valid",(1+'Assumptions'!$F$50)^(-F21),"n.a.")</x:f>
        <x:v>0.7713675785985523</x:v>
      </x:c>
      <x:c r="G22" s="65" t="n">
        <x:f>IF($E$6="Valid",(1+'Assumptions'!$F$50)^(-G21),"n.a.")</x:f>
        <x:v>0.6857153487017029</x:v>
      </x:c>
      <x:c r="H22" s="65" t="n">
        <x:f>IF($E$6="Valid",(1+'Assumptions'!$F$50)^(-H21),"n.a.")</x:f>
        <x:v>0.6095738951063822</x:v>
      </x:c>
      <x:c r="I22" s="65" t="n">
        <x:f>IF($E$6="Valid",(1+'Assumptions'!$F$50)^(-I21),"n.a.")</x:f>
        <x:v>0.5418871464649248</x:v>
      </x:c>
      <x:c r="J22" s="65" t="n">
        <x:f>IF($E$6="Valid",(1+'Assumptions'!$F$50)^(-J21),"n.a.")</x:f>
        <x:v>0.4815609818533258</x:v>
      </x:c>
      <x:c r="K22" s="65" t="n">
        <x:f>IF($E$6="Valid",(1+'Assumptions'!$F$50)^(-K21),"n.a.")</x:f>
        <x:v>0.42808871639722224</x:v>
      </x:c>
      <x:c r="L22" s="65" t="n">
        <x:f>IF($E$6="Valid",(1+'Assumptions'!$F$50)^(-L21),"n.a.")</x:f>
        <x:v>0.3805539817643258</x:v>
      </x:c>
      <x:c r="M22" s="65" t="n">
        <x:f>IF($E$6="Valid",(1+'Assumptions'!$F$50)^(-M21),"n.a.")</x:f>
        <x:v>0.3382974778113598</x:v>
      </x:c>
      <x:c r="N22" s="65" t="n">
        <x:f>IF($E$6="Valid",(1+'Assumptions'!$F$50)^(-N21),"n.a.")</x:f>
        <x:v>0.3006361502318583</x:v>
      </x:c>
    </x:row>
    <x:row r="23" ht="20" customHeight="1">
      <x:c r="A23" s="3"/>
      <x:c r="B23" s="3"/>
      <x:c r="C23" s="57" t="str">
        <x:v>Present value of FCFF</x:v>
      </x:c>
      <x:c r="D23" s="60" t="n">
        <x:f>IF($E$6="Valid",D18*D22,"n.a.")</x:f>
        <x:v>-7.811356105064402</x:v>
      </x:c>
      <x:c r="E23" s="60" t="n">
        <x:f>IF($E$6="Valid",E18*E22,"n.a.")</x:f>
        <x:v>-16.708969771279335</x:v>
      </x:c>
      <x:c r="F23" s="60" t="n">
        <x:f>IF($E$6="Valid",F18*F22,"n.a.")</x:f>
        <x:v>-15.79375117180536</x:v>
      </x:c>
      <x:c r="G23" s="60" t="n">
        <x:f>IF($E$6="Valid",G18*G22,"n.a.")</x:f>
        <x:v>-12.69001967191089</x:v>
      </x:c>
      <x:c r="H23" s="60" t="n">
        <x:f>IF($E$6="Valid",H18*H22,"n.a.")</x:f>
        <x:v>-8.280680381335761</x:v>
      </x:c>
      <x:c r="I23" s="60" t="n">
        <x:f>IF($E$6="Valid",I18*I22,"n.a.")</x:f>
        <x:v>0.3720605614614846</x:v>
      </x:c>
      <x:c r="J23" s="60" t="n">
        <x:f>IF($E$6="Valid",J18*J22,"n.a.")</x:f>
        <x:v>2.6179049995516133</x:v>
      </x:c>
      <x:c r="K23" s="60" t="n">
        <x:f>IF($E$6="Valid",K18*K22,"n.a.")</x:f>
        <x:v>5.3979424478233335</x:v>
      </x:c>
      <x:c r="L23" s="60" t="n">
        <x:f>IF($E$6="Valid",L18*L22,"n.a.")</x:f>
        <x:v>15.322841796675513</x:v>
      </x:c>
      <x:c r="M23" s="60" t="n">
        <x:f>IF($E$6="Valid",M18*M22,"n.a.")</x:f>
        <x:v>17.700148449162704</x:v>
      </x:c>
      <x:c r="N23" s="60" t="n">
        <x:f>IF($E$6="Valid",N18*N22,"n.a.")</x:f>
        <x:v>20.04994667000197</x:v>
      </x:c>
    </x:row>
    <x:row r="24" ht="20" customHeight="1">
      <x:c r="A24" s="3"/>
      <x:c r="B24" s="3"/>
      <x:c r="C24" s="57" t="str">
        <x:v>Cumulative undiscounted FCFF</x:v>
      </x:c>
      <x:c r="D24" s="60" t="n">
        <x:f>IF($E$6="Valid",D18,"n.a.")</x:f>
        <x:v>-8</x:v>
      </x:c>
      <x:c r="E24" s="60" t="n">
        <x:f>IF($E$6="Valid",D24+E18,"n.a.")</x:f>
        <x:v>-27.25</x:v>
      </x:c>
      <x:c r="F24" s="60" t="n">
        <x:f>IF($E$6="Valid",E24+F18,"n.a.")</x:f>
        <x:v>-47.725</x:v>
      </x:c>
      <x:c r="G24" s="60" t="n">
        <x:f>IF($E$6="Valid",F24+G18,"n.a.")</x:f>
        <x:v>-66.23125</x:v>
      </x:c>
      <x:c r="H24" s="60" t="n">
        <x:f>IF($E$6="Valid",G24+H18,"n.a.")</x:f>
        <x:v>-79.81562500000001</x:v>
      </x:c>
      <x:c r="I24" s="60" t="n">
        <x:f>IF($E$6="Valid",H24+I18,"n.a.")</x:f>
        <x:v>-79.12902343750001</x:v>
      </x:c>
      <x:c r="J24" s="60" t="n">
        <x:f>IF($E$6="Valid",I24+J18,"n.a.")</x:f>
        <x:v>-73.69273375</x:v>
      </x:c>
      <x:c r="K24" s="60" t="n">
        <x:f>IF($E$6="Valid",J24+K18,"n.a.")</x:f>
        <x:v>-61.08333237812502</x:v>
      </x:c>
      <x:c r="L24" s="60" t="n">
        <x:f>IF($E$6="Valid",K24+L18,"n.a.")</x:f>
        <x:v>-20.818764062125027</x:v>
      </x:c>
      <x:c r="M24" s="60" t="n">
        <x:f>IF($E$6="Valid",L24+M18,"n.a.")</x:f>
        <x:v>31.50249048483495</x:v>
      </x:c>
      <x:c r="N24" s="60" t="n">
        <x:f>IF($E$6="Valid",M24+N18,"n.a.")</x:f>
        <x:v>98.19422617443495</x:v>
      </x:c>
    </x:row>
    <x:row r="25" ht="2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0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20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 ht="24" customHeight="1">
      <x:c r="A28" s="3"/>
      <x:c r="B28" s="3"/>
      <x:c r="C28" s="25" t="str">
        <x:v>Enterprise value build</x:v>
      </x:c>
      <x:c r="D28" s="25"/>
      <x:c r="E28" s="25"/>
      <x:c r="F28" s="25"/>
      <x:c r="G28" s="3"/>
      <x:c r="H28" s="25" t="str">
        <x:v>Perpetuity and transition</x:v>
      </x:c>
      <x:c r="I28" s="25"/>
      <x:c r="J28" s="25"/>
      <x:c r="K28" s="25"/>
      <x:c r="L28" s="25"/>
      <x:c r="M28" s="25"/>
      <x:c r="N28" s="25"/>
    </x:row>
    <x:row r="29" ht="2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0" customHeight="1">
      <x:c r="A30" s="3"/>
      <x:c r="B30" s="3"/>
      <x:c r="C30" s="3" t="str">
        <x:v>PV explicit cash flows, including stub</x:v>
      </x:c>
      <x:c r="D30" s="3"/>
      <x:c r="E30" s="3"/>
      <x:c r="F30" s="19" t="n">
        <x:f>IF($E$6="Valid",SUM(D23:N23),"n.a.")</x:f>
        <x:v>0.17606782328086368</x:v>
      </x:c>
      <x:c r="G30" s="3"/>
      <x:c r="H30" s="3" t="str">
        <x:v>2037 revenue</x:v>
      </x:c>
      <x:c r="I30" s="3"/>
      <x:c r="J30" s="3"/>
      <x:c r="K30" s="3"/>
      <x:c r="L30" s="63" t="n">
        <x:f>IF($E$6="Valid",N10*(1+'Assumptions'!$F$55),"n.a.")</x:f>
        <x:v>512.9039086101506</x:v>
      </x:c>
      <x:c r="M30" s="3"/>
      <x:c r="N30" s="3"/>
    </x:row>
    <x:row r="31" ht="20" customHeight="1">
      <x:c r="A31" s="3"/>
      <x:c r="B31" s="3"/>
      <x:c r="C31" s="3" t="str">
        <x:v>PV terminal value</x:v>
      </x:c>
      <x:c r="D31" s="3"/>
      <x:c r="E31" s="3"/>
      <x:c r="F31" s="19" t="n">
        <x:f>IF($E$6="Valid",L36,"n.a.")</x:f>
        <x:v>258.6865224570676</x:v>
      </x:c>
      <x:c r="G31" s="3"/>
      <x:c r="H31" s="3" t="str">
        <x:v>2037 NOPAT</x:v>
      </x:c>
      <x:c r="I31" s="3"/>
      <x:c r="J31" s="3"/>
      <x:c r="K31" s="3"/>
      <x:c r="L31" s="63" t="n">
        <x:f>IF($E$6="Valid",L30*'Assumptions'!$F$40*(1-'Assumptions'!$F$70),"n.a.")</x:f>
        <x:v>96.16948286440322</x:v>
      </x:c>
      <x:c r="M31" s="3"/>
      <x:c r="N31" s="3"/>
    </x:row>
    <x:row r="32" ht="26" customHeight="1">
      <x:c r="A32" s="3"/>
      <x:c r="B32" s="3"/>
      <x:c r="C32" s="72" t="str">
        <x:v>Operating enterprise value</x:v>
      </x:c>
      <x:c r="D32" s="72"/>
      <x:c r="E32" s="72"/>
      <x:c r="F32" s="73" t="n">
        <x:f>IF($E$6="Valid",SUM(F30:F31),"n.a.")</x:f>
        <x:v>258.86259028034846</x:v>
      </x:c>
      <x:c r="G32" s="3"/>
      <x:c r="H32" s="41" t="str">
        <x:v>Reinvestment share (g / ROIC)</x:v>
      </x:c>
      <x:c r="I32" s="41"/>
      <x:c r="J32" s="41"/>
      <x:c r="K32" s="41"/>
      <x:c r="L32" s="66" t="n">
        <x:f>IF($E$6="Valid",'Assumptions'!$F$55/'Assumptions'!$F$60,"n.a.")</x:f>
        <x:v>0.15</x:v>
      </x:c>
      <x:c r="M32" s="3"/>
      <x:c r="N32" s="3"/>
    </x:row>
    <x:row r="33" ht="20" customHeight="1">
      <x:c r="A33" s="3"/>
      <x:c r="B33" s="3"/>
      <x:c r="C33" s="41" t="str">
        <x:v>Terminal value / enterprise value</x:v>
      </x:c>
      <x:c r="D33" s="41"/>
      <x:c r="E33" s="41"/>
      <x:c r="F33" s="42" t="n">
        <x:f>IF($E$6="Valid",IF(F32&gt;0,F31/F32,"n.a."),"n.a.")</x:f>
        <x:v>0.9993198406031163</x:v>
      </x:c>
      <x:c r="G33" s="3"/>
      <x:c r="H33" s="3" t="str">
        <x:v>2037 net reinvestment</x:v>
      </x:c>
      <x:c r="I33" s="3"/>
      <x:c r="J33" s="3"/>
      <x:c r="K33" s="3"/>
      <x:c r="L33" s="19" t="n">
        <x:f>IF($E$6="Valid",L31*L32,"n.a.")</x:f>
        <x:v>14.425422429660482</x:v>
      </x:c>
      <x:c r="M33" s="3"/>
      <x:c r="N33" s="3"/>
    </x:row>
    <x:row r="34" ht="20" customHeight="1">
      <x:c r="A34" s="3"/>
      <x:c r="B34" s="3"/>
      <x:c r="C34" s="3" t="str">
        <x:v>Peak cumulative FCFF deficit</x:v>
      </x:c>
      <x:c r="D34" s="3"/>
      <x:c r="E34" s="3"/>
      <x:c r="F34" s="19" t="n">
        <x:f>IF($E$6="Valid",-MIN(0,D24:N24),"n.a.")</x:f>
        <x:v>79.81562500000001</x:v>
      </x:c>
      <x:c r="G34" s="3"/>
      <x:c r="H34" s="3" t="str">
        <x:v>2037 FCFF</x:v>
      </x:c>
      <x:c r="I34" s="3"/>
      <x:c r="J34" s="3"/>
      <x:c r="K34" s="3"/>
      <x:c r="L34" s="19" t="n">
        <x:f>IF($E$6="Valid",L31-L33,"n.a.")</x:f>
        <x:v>81.74406043474274</x:v>
      </x:c>
      <x:c r="M34" s="3"/>
      <x:c r="N34" s="3"/>
    </x:row>
    <x:row r="35" ht="20" customHeight="1">
      <x:c r="A35" s="3"/>
      <x:c r="B35" s="3"/>
      <x:c r="C35" s="3"/>
      <x:c r="D35" s="3"/>
      <x:c r="E35" s="3"/>
      <x:c r="F35" s="19"/>
      <x:c r="G35" s="3"/>
      <x:c r="H35" s="3" t="str">
        <x:v>Terminal value at 12/31/2036</x:v>
      </x:c>
      <x:c r="I35" s="3"/>
      <x:c r="J35" s="3"/>
      <x:c r="K35" s="3"/>
      <x:c r="L35" s="63" t="n">
        <x:f>IF($E$6="Valid",L34/('Assumptions'!$F$50-'Assumptions'!$F$55),"n.a.")</x:f>
        <x:v>860.4637940499235</x:v>
      </x:c>
      <x:c r="M35" s="3"/>
      <x:c r="N35" s="3"/>
    </x:row>
    <x:row r="36" ht="20" customHeight="1">
      <x:c r="A36" s="3"/>
      <x:c r="B36" s="3"/>
      <x:c r="C36" s="41" t="str">
        <x:v>Revenue CAGR, 2026–2036</x:v>
      </x:c>
      <x:c r="D36" s="41"/>
      <x:c r="E36" s="41"/>
      <x:c r="F36" s="42" t="n">
        <x:f>IF($E$6="Valid",(N10/D10)^(1/10)-1,"n.a.")</x:f>
        <x:v>0.304106543264697</x:v>
      </x:c>
      <x:c r="G36" s="3"/>
      <x:c r="H36" s="3" t="str">
        <x:v>PV terminal value</x:v>
      </x:c>
      <x:c r="I36" s="3"/>
      <x:c r="J36" s="3"/>
      <x:c r="K36" s="3"/>
      <x:c r="L36" s="19" t="n">
        <x:f>IF($E$6="Valid",L35*N22,"n.a.")</x:f>
        <x:v>258.6865224570676</x:v>
      </x:c>
      <x:c r="M36" s="3"/>
      <x:c r="N36" s="3"/>
    </x:row>
    <x:row r="37" ht="20" customHeight="1">
      <x:c r="A37" s="3"/>
      <x:c r="B37" s="3"/>
      <x:c r="C37" s="3"/>
      <x:c r="D37" s="3"/>
      <x:c r="E37" s="3"/>
      <x:c r="F37" s="3"/>
      <x:c r="G37" s="3"/>
      <x:c r="H37" s="41" t="str">
        <x:v>FCFF change from 2036</x:v>
      </x:c>
      <x:c r="I37" s="41"/>
      <x:c r="J37" s="41"/>
      <x:c r="K37" s="41"/>
      <x:c r="L37" s="42" t="n">
        <x:f>IF($E$6="Valid",IF(N18&gt;0,L34/N18-1,"n.a."),"n.a.")</x:f>
        <x:v>0.22570000000000023</x:v>
      </x:c>
      <x:c r="M37" s="3"/>
      <x:c r="N37" s="3"/>
    </x:row>
    <x:row r="38" ht="20" customHeight="1">
      <x:c r="A38" s="3"/>
      <x:c r="B38" s="3"/>
      <x:c r="C38" s="3"/>
      <x:c r="D38" s="3"/>
      <x:c r="E38" s="3"/>
      <x:c r="F38" s="3"/>
      <x:c r="G38" s="3"/>
      <x:c r="H38" s="41" t="str">
        <x:v>Implied incremental ROIC</x:v>
      </x:c>
      <x:c r="I38" s="41"/>
      <x:c r="J38" s="41"/>
      <x:c r="K38" s="41"/>
      <x:c r="L38" s="66" t="n">
        <x:f>IF($E$6="Valid",'Assumptions'!$F$40*(1-'Assumptions'!$F$70)*'Assumptions'!$F$45,"n.a.")</x:f>
        <x:v>0.375</x:v>
      </x:c>
      <x:c r="M38" s="3"/>
      <x:c r="N38" s="3"/>
    </x:row>
    <x:row r="39" ht="2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24" customHeight="1">
      <x:c r="A40" s="3"/>
      <x:c r="B40" s="3"/>
      <x:c r="C40" s="25" t="str">
        <x:v>Model diagnostics</x:v>
      </x:c>
      <x:c r="D40" s="25"/>
      <x:c r="E40" s="25"/>
      <x:c r="F40" s="25"/>
      <x:c r="G40" s="3"/>
      <x:c r="H40" s="3"/>
      <x:c r="I40" s="3"/>
      <x:c r="J40" s="3"/>
      <x:c r="K40" s="3"/>
      <x:c r="L40" s="3"/>
      <x:c r="M40" s="3"/>
      <x:c r="N40" s="3"/>
    </x:row>
    <x:row r="41" ht="20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</x:row>
    <x:row r="42" ht="20" customHeight="1">
      <x:c r="A42" s="3"/>
      <x:c r="B42" s="3"/>
      <x:c r="C42" s="3" t="str">
        <x:v>Terminal share above 75%</x:v>
      </x:c>
      <x:c r="D42" s="3"/>
      <x:c r="E42" s="3"/>
      <x:c r="F42" s="3" t="str">
        <x:f>IF($E$6="Valid",IF(ISNUMBER(F33),IF(F33&gt;0.75,"Review","Within threshold"),"n.a."),"n.a.")</x:f>
        <x:v>Review</x:v>
      </x:c>
      <x:c r="G42" s="3"/>
      <x:c r="H42" s="3" t="str">
        <x:v>Diagnostics read the build. They never control business calculations.</x:v>
      </x:c>
      <x:c r="I42" s="3"/>
      <x:c r="J42" s="3"/>
      <x:c r="K42" s="3"/>
      <x:c r="L42" s="3"/>
      <x:c r="M42" s="3"/>
      <x:c r="N42" s="3"/>
    </x:row>
    <x:row r="43" ht="20" customHeight="1">
      <x:c r="A43" s="3"/>
      <x:c r="B43" s="3"/>
      <x:c r="C43" s="3" t="str">
        <x:v>Terminal FCFF change above ±25%</x:v>
      </x:c>
      <x:c r="D43" s="3"/>
      <x:c r="E43" s="3"/>
      <x:c r="F43" s="3" t="str">
        <x:f>IF($E$6="Valid",IF(ISNUMBER(L37),IF(ABS(L37)&gt;0.25,"Review","Within threshold"),"n.a."),"n.a.")</x:f>
        <x:v>Within threshold</x:v>
      </x:c>
      <x:c r="G43" s="3"/>
      <x:c r="H43" s="3"/>
      <x:c r="I43" s="3"/>
      <x:c r="J43" s="3"/>
      <x:c r="K43" s="3"/>
      <x:c r="L43" s="3"/>
      <x:c r="M43" s="3"/>
      <x:c r="N43" s="3"/>
    </x:row>
    <x:row r="44" ht="20" customHeight="1">
      <x:c r="A44" s="3"/>
      <x:c r="B44" s="3"/>
      <x:c r="C44" s="3" t="str">
        <x:v>ROIC transition above ±5 points</x:v>
      </x:c>
      <x:c r="D44" s="3"/>
      <x:c r="E44" s="3"/>
      <x:c r="F44" s="3" t="str">
        <x:f>IF($E$6="Valid",IF(ABS(L38-'Assumptions'!$F$60)&gt;0.05,"Review","Within threshold"),"n.a.")</x:f>
        <x:v>Review</x:v>
      </x:c>
      <x:c r="G44" s="3"/>
      <x:c r="H44" s="3" t="str">
        <x:v>The FCFF deficit excludes opening liquidity, financing and intrayear timing.</x:v>
      </x:c>
      <x:c r="I44" s="3"/>
      <x:c r="J44" s="3"/>
      <x:c r="K44" s="3"/>
      <x:c r="L44" s="3"/>
      <x:c r="M44" s="3"/>
      <x:c r="N44" s="3"/>
    </x:row>
    <x:row r="45" ht="20" customHeight="1">
      <x:c r="A45" s="3"/>
      <x:c r="B45" s="3"/>
      <x:c r="C45" s="3" t="str">
        <x:v>Terminal ROIC below WACC</x:v>
      </x:c>
      <x:c r="D45" s="3"/>
      <x:c r="E45" s="3"/>
      <x:c r="F45" s="3" t="str">
        <x:f>IF($E$6="Valid",IF('Assumptions'!$F$60&lt;'Assumptions'!$F$50,"Review","No"),"n.a.")</x:f>
        <x:v>No</x:v>
      </x:c>
      <x:c r="G45" s="3"/>
      <x:c r="H45" s="3"/>
      <x:c r="I45" s="3"/>
      <x:c r="J45" s="3"/>
      <x:c r="K45" s="3"/>
      <x:c r="L45" s="3"/>
      <x:c r="M45" s="3"/>
      <x:c r="N45" s="3"/>
    </x:row>
    <x:row r="46" ht="20" customHeight="1">
      <x:c r="A46" s="3"/>
      <x:c r="B46" s="3"/>
      <x:c r="C46" s="3" t="str">
        <x:v>Nonpositive enterprise value</x:v>
      </x:c>
      <x:c r="D46" s="3"/>
      <x:c r="E46" s="3"/>
      <x:c r="F46" s="3" t="str">
        <x:f>IF($E$6="Valid",IF(F32&lt;=0,"Review","No"),"n.a.")</x:f>
        <x:v>No</x:v>
      </x:c>
      <x:c r="G46" s="3"/>
      <x:c r="H46" s="3" t="str">
        <x:v>No current cash/debt bridge or equity preference waterfall is assumed.</x:v>
      </x:c>
      <x:c r="I46" s="3"/>
      <x:c r="J46" s="3"/>
      <x:c r="K46" s="3"/>
      <x:c r="L46" s="3"/>
      <x:c r="M46" s="3"/>
      <x:c r="N46" s="3"/>
    </x:row>
    <x:row r="47" ht="20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</x:row>
    <x:row r="48" ht="20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</x:row>
    <x:row r="50" ht="24" customHeight="1">
      <x:c r="A50" s="3"/>
      <x:c r="B50" s="3"/>
      <x:c r="C50" s="25" t="str">
        <x:v>Revenue basis</x:v>
      </x:c>
      <x:c r="D50" s="25"/>
      <x:c r="E50" s="25"/>
      <x:c r="F50" s="25"/>
      <x:c r="G50" s="3"/>
      <x:c r="H50" s="3"/>
      <x:c r="I50" s="3"/>
      <x:c r="J50" s="3"/>
      <x:c r="K50" s="3"/>
      <x:c r="L50" s="3"/>
      <x:c r="M50" s="3"/>
      <x:c r="N50" s="3"/>
    </x:row>
    <x:row r="51" ht="20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</x:row>
    <x:row r="52" ht="20" customHeight="1">
      <x:c r="A52" s="3"/>
      <x:c r="B52" s="3"/>
      <x:c r="C52" s="3" t="str">
        <x:v>FY2026 analyst estimate</x:v>
      </x:c>
      <x:c r="D52" s="3"/>
      <x:c r="E52" s="3"/>
      <x:c r="F52" s="19" t="n">
        <x:f>IF($E$6="Valid",D10,"n.a.")</x:f>
        <x:v>35</x:v>
      </x:c>
      <x:c r="G52" s="3"/>
      <x:c r="H52" s="3" t="str">
        <x:v>Base $35B is a retained illustrative assumption, not a verified forecast.</x:v>
      </x:c>
      <x:c r="I52" s="3"/>
      <x:c r="J52" s="3"/>
      <x:c r="K52" s="3"/>
      <x:c r="L52" s="3"/>
      <x:c r="M52" s="3"/>
      <x:c r="N52" s="3"/>
    </x:row>
    <x:row r="53" ht="20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</x:row>
    <x:row r="54" ht="20" customHeight="1">
      <x:c r="A54" s="3"/>
      <x:c r="B54" s="3"/>
      <x:c r="C54" s="3"/>
      <x:c r="D54" s="3"/>
      <x:c r="E54" s="3"/>
      <x:c r="F54" s="3"/>
      <x:c r="G54" s="3"/>
      <x:c r="H54" s="3" t="str">
        <x:v>September annualized revenue was reported near $50B. Source S05.</x:v>
      </x:c>
      <x:c r="I54" s="3"/>
      <x:c r="J54" s="3"/>
      <x:c r="K54" s="3"/>
      <x:c r="L54" s="3"/>
      <x:c r="M54" s="3"/>
      <x:c r="N54" s="3"/>
    </x:row>
    <x:row r="55" ht="20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</x:row>
    <x:row r="56" ht="20" customHeight="1">
      <x:c r="A56" s="3"/>
      <x:c r="B56" s="3"/>
      <x:c r="C56" s="3"/>
      <x:c r="D56" s="3"/>
      <x:c r="E56" s="3"/>
      <x:c r="F56" s="3"/>
      <x:c r="G56" s="3"/>
      <x:c r="H56" s="3" t="str">
        <x:v>Annualized pace is not full-year revenue or contracted recurring revenue.</x:v>
      </x:c>
      <x:c r="I56" s="3"/>
      <x:c r="J56" s="3"/>
      <x:c r="K56" s="3"/>
      <x:c r="L56" s="3"/>
      <x:c r="M56" s="3"/>
      <x:c r="N56" s="3"/>
    </x:row>
    <x:row r="57" ht="20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</x:row>
    <x:row r="58" ht="20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</x:row>
    <x:row r="59" ht="20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</x:row>
    <x:row r="60" ht="20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0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</x:sheetData>
  <x:conditionalFormatting sqref="E6:E6">
    <x:cfRule type="expression" dxfId="139" priority="1">
      <x:formula>E6&lt;&gt;"Valid"</x:formula>
    </x:cfRule>
  </x:conditionalFormatting>
  <x:conditionalFormatting sqref="F42:F42">
    <x:cfRule type="expression" dxfId="140" priority="2">
      <x:formula>F42="Review"</x:formula>
    </x:cfRule>
  </x:conditionalFormatting>
  <x:conditionalFormatting sqref="F43:F43">
    <x:cfRule type="expression" dxfId="141" priority="3">
      <x:formula>F43="Review"</x:formula>
    </x:cfRule>
  </x:conditionalFormatting>
  <x:conditionalFormatting sqref="F44:F44">
    <x:cfRule type="expression" dxfId="142" priority="4">
      <x:formula>F44="Review"</x:formula>
    </x:cfRule>
  </x:conditionalFormatting>
  <x:conditionalFormatting sqref="F45:F45">
    <x:cfRule type="expression" dxfId="143" priority="5">
      <x:formula>F45="Review"</x:formula>
    </x:cfRule>
  </x:conditionalFormatting>
  <x:conditionalFormatting sqref="F46:F46">
    <x:cfRule type="expression" dxfId="144" priority="6">
      <x:formula>F46="Review"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00000047683716" hidden="0" customWidth="1"/>
    <x:col min="2" max="2" width="2.200000047683716" hidden="0" customWidth="1"/>
    <x:col min="3" max="3" width="9" hidden="0" customWidth="1"/>
    <x:col min="4" max="4" width="40" hidden="0" customWidth="1"/>
    <x:col min="5" max="5" width="48" hidden="0" customWidth="1"/>
    <x:col min="6" max="6" width="28" hidden="0" customWidth="1"/>
    <x:col min="7" max="7" width="3" hidden="0" customWidth="1"/>
    <x:col min="8" max="8" width="88" hidden="0" customWidth="1"/>
    <x:col min="9" max="9" width="3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9" customHeight="1">
      <x:c r="A2" s="3"/>
      <x:c r="B2" s="3"/>
      <x:c r="C2" s="4" t="str">
        <x:v>Source data and evidence</x:v>
      </x:c>
      <x:c r="D2" s="4"/>
      <x:c r="E2" s="4"/>
      <x:c r="F2" s="4"/>
      <x:c r="G2" s="4"/>
      <x:c r="H2" s="4"/>
      <x:c r="I2" s="4"/>
    </x:row>
    <x:row r="3" ht="20" customHeight="1">
      <x:c r="A3" s="3"/>
      <x:c r="B3" s="3"/>
      <x:c r="C3" s="6" t="str">
        <x:v>Research cutoff October 18, 2026, 09:22 PDT. Source dates and observation periods differ.</x:v>
      </x:c>
      <x:c r="D3" s="6"/>
      <x:c r="E3" s="6"/>
      <x:c r="F3" s="6"/>
      <x:c r="G3" s="6"/>
      <x:c r="H3" s="6"/>
      <x:c r="I3" s="6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0" customHeight="1">
      <x:c r="A5" s="3"/>
      <x:c r="B5" s="3"/>
      <x:c r="C5" s="3" t="str">
        <x:v>Case selected:</x:v>
      </x:c>
      <x:c r="D5" s="3"/>
      <x:c r="E5" s="9" t="str">
        <x:f>'Assumptions'!F5</x:f>
        <x:v>Base</x:v>
      </x:c>
      <x:c r="F5" s="3"/>
      <x:c r="G5" s="3"/>
      <x:c r="H5" s="3"/>
      <x:c r="I5" s="3"/>
    </x:row>
    <x:row r="6" ht="24" customHeight="1">
      <x:c r="A6" s="3"/>
      <x:c r="B6" s="3"/>
      <x:c r="C6" s="15" t="str">
        <x:v>Source</x:v>
      </x:c>
      <x:c r="D6" s="16" t="str">
        <x:v>Reference input</x:v>
      </x:c>
      <x:c r="E6" s="16" t="str">
        <x:v>Value (USD B)</x:v>
      </x:c>
      <x:c r="F6" s="17" t="str">
        <x:v>Observation period</x:v>
      </x:c>
      <x:c r="G6" s="3"/>
      <x:c r="H6" s="18" t="str">
        <x:v>Definition (full source URLs are in the register below)</x:v>
      </x:c>
      <x:c r="I6" s="3"/>
    </x:row>
    <x:row r="7" ht="20" customHeight="1">
      <x:c r="A7" s="3"/>
      <x:c r="B7" s="3"/>
      <x:c r="C7" s="3" t="str">
        <x:v>S01</x:v>
      </x:c>
      <x:c r="D7" s="3" t="str">
        <x:v>Anthropic completed equity valuation</x:v>
      </x:c>
      <x:c r="E7" s="19" t="n">
        <x:v>965</x:v>
      </x:c>
      <x:c r="F7" s="21" t="d">
        <x:v>2026-05-28T00:00:00.000Z</x:v>
      </x:c>
      <x:c r="G7" s="3"/>
      <x:c r="H7" s="3" t="str">
        <x:v>Post-money Series H equity. Not enterprise value or current net cash.</x:v>
      </x:c>
      <x:c r="I7" s="3"/>
    </x:row>
    <x:row r="8" ht="20" customHeight="1">
      <x:c r="A8" s="3"/>
      <x:c r="B8" s="3"/>
      <x:c r="C8" s="3" t="str">
        <x:v>S02</x:v>
      </x:c>
      <x:c r="D8" s="3" t="str">
        <x:v>OpenAI completed equity valuation</x:v>
      </x:c>
      <x:c r="E8" s="19" t="n">
        <x:v>852</x:v>
      </x:c>
      <x:c r="F8" s="21" t="d">
        <x:v>2026-03-31T00:00:00.000Z</x:v>
      </x:c>
      <x:c r="G8" s="3"/>
      <x:c r="H8" s="3" t="str">
        <x:v>Post-money completed financing. The $122B is committed capital.</x:v>
      </x:c>
      <x:c r="I8" s="3"/>
    </x:row>
    <x:row r="9" ht="20" customHeight="1">
      <x:c r="A9" s="3"/>
      <x:c r="B9" s="3"/>
      <x:c r="C9" s="3" t="str">
        <x:v>S03</x:v>
      </x:c>
      <x:c r="D9" s="3" t="str">
        <x:v>OpenAI proposed equity valuation</x:v>
      </x:c>
      <x:c r="E9" s="19" t="n">
        <x:v>1400</x:v>
      </x:c>
      <x:c r="F9" s="21" t="d">
        <x:v>2026-09-29T00:00:00.000Z</x:v>
      </x:c>
      <x:c r="G9" s="3"/>
      <x:c r="H9" s="3" t="str">
        <x:v>Pre-money ask in early discussions. No closing is established.</x:v>
      </x:c>
      <x:c r="I9" s="3"/>
    </x:row>
    <x:row r="10" ht="20" customHeight="1">
      <x:c r="A10" s="3"/>
      <x:c r="B10" s="3"/>
      <x:c r="C10" s="3" t="str">
        <x:v>S05</x:v>
      </x:c>
      <x:c r="D10" s="3" t="str">
        <x:v>OpenAI September annualized pace</x:v>
      </x:c>
      <x:c r="E10" s="19" t="n">
        <x:v>50</x:v>
      </x:c>
      <x:c r="F10" s="22" t="str">
        <x:v>September 2026</x:v>
      </x:c>
      <x:c r="G10" s="3"/>
      <x:c r="H10" s="3" t="str">
        <x:v>Reported almost $50B/year. Not actual FY2026 revenue.</x:v>
      </x:c>
      <x:c r="I10" s="3"/>
    </x:row>
    <x:row r="11" ht="20" customHeight="1">
      <x:c r="A11" s="3"/>
      <x:c r="B11" s="3"/>
      <x:c r="C11" s="3" t="str">
        <x:v>S18</x:v>
      </x:c>
      <x:c r="D11" s="3" t="str">
        <x:v>Anthropic Q1:26 revenue</x:v>
      </x:c>
      <x:c r="E11" s="19" t="n">
        <x:v>4.7</x:v>
      </x:c>
      <x:c r="F11" s="22" t="str">
        <x:v>Quarter ended 03/31/26</x:v>
      </x:c>
      <x:c r="G11" s="3"/>
      <x:c r="H11" s="3" t="str">
        <x:v>Reported actual period. Part of the illustrative FY estimate bridge.</x:v>
      </x:c>
      <x:c r="I11" s="3"/>
    </x:row>
    <x:row r="12" ht="20" customHeight="1">
      <x:c r="A12" s="3"/>
      <x:c r="B12" s="3"/>
      <x:c r="C12" s="3" t="str">
        <x:v>S18</x:v>
      </x:c>
      <x:c r="D12" s="3" t="str">
        <x:v>Anthropic Q2:26 revenue</x:v>
      </x:c>
      <x:c r="E12" s="19" t="n">
        <x:v>11.6</x:v>
      </x:c>
      <x:c r="F12" s="22" t="str">
        <x:v>Quarter ended 06/30/26</x:v>
      </x:c>
      <x:c r="G12" s="3"/>
      <x:c r="H12" s="3" t="str">
        <x:v>Later reported comparator. Earlier coverage used $11.5B.</x:v>
      </x:c>
      <x:c r="I12" s="3"/>
    </x:row>
    <x:row r="13" ht="20" customHeight="1">
      <x:c r="A13" s="3"/>
      <x:c r="B13" s="3"/>
      <x:c r="C13" s="3" t="str">
        <x:v>S18</x:v>
      </x:c>
      <x:c r="D13" s="3" t="str">
        <x:v>Anthropic Q3:26 revenue</x:v>
      </x:c>
      <x:c r="E13" s="19" t="n">
        <x:v>16.8</x:v>
      </x:c>
      <x:c r="F13" s="22" t="str">
        <x:v>Quarter ended 09/30/26</x:v>
      </x:c>
      <x:c r="G13" s="3"/>
      <x:c r="H13" s="3" t="str">
        <x:v>Reported actual period. Adjusted profit is not GAAP EBIT or FCFF.</x:v>
      </x:c>
      <x:c r="I13" s="3"/>
    </x:row>
    <x:row r="14" ht="20" customHeight="1">
      <x:c r="A14" s="3"/>
      <x:c r="B14" s="3"/>
      <x:c r="C14" s="3" t="str">
        <x:v>S07</x:v>
      </x:c>
      <x:c r="D14" s="3" t="str">
        <x:v>Anthropic 2025 revenue</x:v>
      </x:c>
      <x:c r="E14" s="19" t="n">
        <x:v>4.6</x:v>
      </x:c>
      <x:c r="F14" s="22" t="str">
        <x:v>FY2025</x:v>
      </x:c>
      <x:c r="G14" s="3"/>
      <x:c r="H14" s="3" t="str">
        <x:v>Approximately $4.6B, from Reuters review of a confidential prospectus.</x:v>
      </x:c>
      <x:c r="I14" s="3"/>
    </x:row>
    <x:row r="15" ht="20" customHeight="1">
      <x:c r="A15" s="3"/>
      <x:c r="B15" s="3"/>
      <x:c r="C15" s="3" t="str">
        <x:v>S08</x:v>
      </x:c>
      <x:c r="D15" s="3" t="str">
        <x:v>OpenAI 2025 revenue</x:v>
      </x:c>
      <x:c r="E15" s="19" t="n">
        <x:v>13.07</x:v>
      </x:c>
      <x:c r="F15" s="22" t="str">
        <x:v>FY2025</x:v>
      </x:c>
      <x:c r="G15" s="3"/>
      <x:c r="H15" s="3" t="str">
        <x:v>Reported leaked statements described as audited, not reviewed directly here.</x:v>
      </x:c>
      <x:c r="I15" s="3"/>
    </x:row>
    <x:row r="16" ht="20" customHeight="1">
      <x:c r="A16" s="3"/>
      <x:c r="B16" s="3"/>
      <x:c r="C16" s="3" t="str">
        <x:v>S13</x:v>
      </x:c>
      <x:c r="D16" s="3" t="str">
        <x:v>Anthropic capacity obligations</x:v>
      </x:c>
      <x:c r="E16" s="19" t="n">
        <x:v>518</x:v>
      </x:c>
      <x:c r="F16" s="22" t="str">
        <x:v>Mainly next 7–10 years</x:v>
      </x:c>
      <x:c r="G16" s="3"/>
      <x:c r="H16" s="3" t="str">
        <x:v>At least $518B of mixed service, lease and capacity commitments. Not direct debt.</x:v>
      </x:c>
      <x:c r="I16" s="3"/>
    </x:row>
    <x:row r="17" ht="2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0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20" customHeight="1">
      <x:c r="A19" s="3"/>
      <x:c r="B19" s="3"/>
      <x:c r="C19" s="3"/>
      <x:c r="D19" s="3" t="str">
        <x:v>Current balance sheet and share data</x:v>
      </x:c>
      <x:c r="E19" s="3"/>
      <x:c r="F19" s="3"/>
      <x:c r="G19" s="3"/>
      <x:c r="H19" s="3" t="str">
        <x:v>Current excess cash, debt, lease balances, preferred rights and diluted share count: unknown.</x:v>
      </x:c>
      <x:c r="I19" s="3"/>
    </x:row>
    <x:row r="20" ht="20" customHeight="1">
      <x:c r="A20" s="3"/>
      <x:c r="B20" s="3"/>
      <x:c r="C20" s="3"/>
      <x:c r="D20" s="3" t="str">
        <x:v>Model policy</x:v>
      </x:c>
      <x:c r="E20" s="3"/>
      <x:c r="F20" s="3"/>
      <x:c r="G20" s="3"/>
      <x:c r="H20" s="3" t="str">
        <x:v>Forecast inputs are analyst scenarios. There are no assigned scenario probabilities.</x:v>
      </x:c>
      <x:c r="I20" s="3"/>
    </x:row>
    <x:row r="21" ht="2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0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24" customHeight="1">
      <x:c r="A23" s="3"/>
      <x:c r="B23" s="3"/>
      <x:c r="C23" s="25" t="str">
        <x:v>Source register</x:v>
      </x:c>
      <x:c r="D23" s="25"/>
      <x:c r="E23" s="25"/>
      <x:c r="F23" s="25"/>
      <x:c r="G23" s="3"/>
      <x:c r="H23" s="3"/>
      <x:c r="I23" s="3"/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4" customHeight="1">
      <x:c r="A25" s="3"/>
      <x:c r="B25" s="3"/>
      <x:c r="C25" s="15" t="str">
        <x:v>ID</x:v>
      </x:c>
      <x:c r="D25" s="16" t="str">
        <x:v>Publisher and publication date</x:v>
      </x:c>
      <x:c r="E25" s="16" t="str">
        <x:v>Title</x:v>
      </x:c>
      <x:c r="F25" s="17" t="str">
        <x:v>Evidence category</x:v>
      </x:c>
      <x:c r="G25" s="3"/>
      <x:c r="H25" s="18" t="str">
        <x:v>Use, limitations and full source URL</x:v>
      </x:c>
      <x:c r="I25" s="3"/>
    </x:row>
    <x:row r="26" ht="56" customHeight="1">
      <x:c r="A26" s="3"/>
      <x:c r="B26" s="3"/>
      <x:c r="C26" s="3" t="str">
        <x:v>S01</x:v>
      </x:c>
      <x:c r="D26" s="26" t="str">
        <x:v>Anthropic
2026-05-28</x:v>
      </x:c>
      <x:c r="E26" s="26" t="str">
        <x:v>Series H financing</x:v>
      </x:c>
      <x:c r="F26" s="26" t="str">
        <x:v>Company disclosure</x:v>
      </x:c>
      <x:c r="G26" s="3"/>
      <x:c r="H26" s="26" t="str">
        <x:v>Completed Series H financing. Company-announced revenue run-rate. Primary company announcement; unaudited operating run-rate claim.
URL: https://www.anthropic.com/news/series-h</x:v>
      </x:c>
      <x:c r="I26" s="3"/>
    </x:row>
    <x:row r="27" ht="64" customHeight="1">
      <x:c r="A27" s="3"/>
      <x:c r="B27" s="3"/>
      <x:c r="C27" s="27" t="str">
        <x:v>S02</x:v>
      </x:c>
      <x:c r="D27" s="28" t="str">
        <x:v>OpenAI
2026-03-31</x:v>
      </x:c>
      <x:c r="E27" s="28" t="str">
        <x:v>Latest funding round close</x:v>
      </x:c>
      <x:c r="F27" s="28" t="str">
        <x:v>Company disclosure</x:v>
      </x:c>
      <x:c r="G27" s="3"/>
      <x:c r="H27" s="28" t="str">
        <x:v>Closed funding round. Company-announced monthly revenue. Primary company announcement; committed capital is not a current cash balance.
URL: https://openai.com/index/accelerating-the-next-phase-ai/</x:v>
      </x:c>
      <x:c r="I27" s="3"/>
    </x:row>
    <x:row r="28" ht="64" customHeight="1">
      <x:c r="A28" s="3"/>
      <x:c r="B28" s="3"/>
      <x:c r="C28" s="3" t="str">
        <x:v>S03</x:v>
      </x:c>
      <x:c r="D28" s="26" t="str">
        <x:v>Reuters citing Bloomberg
2026-09-29</x:v>
      </x:c>
      <x:c r="E28" s="26" t="str">
        <x:v>OpenAI proposed financing</x:v>
      </x:c>
      <x:c r="F28" s="26" t="str">
        <x:v>Reported evidence</x:v>
      </x:c>
      <x:c r="G28" s="3"/>
      <x:c r="H28" s="26" t="str">
        <x:v>Proposed financing target. Reported early-stage talks, no closed financing; company did not comment.
URL: https://www.reuters.com/legal/transactional/openai-targets-30-billion-funding-14-trillion-valuation-bloomberg-news-reports-2026-09-29/</x:v>
      </x:c>
      <x:c r="I28" s="3"/>
    </x:row>
    <x:row r="29" ht="78" customHeight="1">
      <x:c r="A29" s="3"/>
      <x:c r="B29" s="3"/>
      <x:c r="C29" s="27" t="str">
        <x:v>S04</x:v>
      </x:c>
      <x:c r="D29" s="28" t="str">
        <x:v>Reuters
2026-10-15T21:00:00Z</x:v>
      </x:c>
      <x:c r="E29" s="28" t="str">
        <x:v>Anthropic investor-day update</x:v>
      </x:c>
      <x:c r="F29" s="28" t="str">
        <x:v>Reported evidence</x:v>
      </x:c>
      <x:c r="G29" s="3"/>
      <x:c r="H29" s="28" t="str">
        <x:v>Investor IPO valuation expectations. Quarterly revenue and adjusted profitability. Multiple unnamed people with knowledge of investor-day disclosures; company did not respond.
URL: https://www.reuters.com/business/finance/investors-temper-anthropic-ipo-valuation-expectations-over-revenue-growth-2026-10-15/</x:v>
      </x:c>
      <x:c r="I29" s="3"/>
    </x:row>
    <x:row r="30" ht="78" customHeight="1">
      <x:c r="A30" s="3"/>
      <x:c r="B30" s="3"/>
      <x:c r="C30" s="3" t="str">
        <x:v>S05</x:v>
      </x:c>
      <x:c r="D30" s="26" t="str">
        <x:v>Reuters via Investing.com
2026-10-08T21:12:29Z</x:v>
      </x:c>
      <x:c r="E30" s="26" t="str">
        <x:v>OpenAI September revenue correction</x:v>
      </x:c>
      <x:c r="F30" s="26" t="str">
        <x:v>Reported evidence</x:v>
      </x:c>
      <x:c r="G30" s="3"/>
      <x:c r="H30" s="26" t="str">
        <x:v>September revenue run-rate. Quarterly revenue. Reuters source familiar with company communications; first reported by FT; company did not comment.
URL: https://www.investing.com/news/stock-market-news/openais-annualized-revenue-20-billion-less-than-previously-signaled-ft-reports-4939854</x:v>
      </x:c>
      <x:c r="I30" s="3"/>
    </x:row>
    <x:row r="31" ht="64" customHeight="1">
      <x:c r="A31" s="3"/>
      <x:c r="B31" s="3"/>
      <x:c r="C31" s="27" t="str">
        <x:v>S06</x:v>
      </x:c>
      <x:c r="D31" s="28" t="str">
        <x:v>Reuters
2026-08-17T21:36:00Z</x:v>
      </x:c>
      <x:c r="E31" s="28" t="str">
        <x:v>Anthropic July run-rate</x:v>
      </x:c>
      <x:c r="F31" s="28" t="str">
        <x:v>Reported evidence</x:v>
      </x:c>
      <x:c r="G31" s="3"/>
      <x:c r="H31" s="28" t="str">
        <x:v>Latest directly retrieved reported monthly run-rate. One person familiar with investor update; not a public financial statement.
URL: https://www.reuters.com/technology/anthropic-revenue-run-rate-tops-65-billion-source-says-2026-08-17/</x:v>
      </x:c>
      <x:c r="I31" s="3"/>
    </x:row>
    <x:row r="32" ht="64" customHeight="1">
      <x:c r="A32" s="3"/>
      <x:c r="B32" s="3"/>
      <x:c r="C32" s="3" t="str">
        <x:v>S07</x:v>
      </x:c>
      <x:c r="D32" s="26" t="str">
        <x:v>Reuters
2026-09-28T23:17:00Z</x:v>
      </x:c>
      <x:c r="E32" s="26" t="str">
        <x:v>Anthropic confidential prospectus financials</x:v>
      </x:c>
      <x:c r="F32" s="26" t="str">
        <x:v>Reported evidence</x:v>
      </x:c>
      <x:c r="G32" s="3"/>
      <x:c r="H32" s="26" t="str">
        <x:v>Reported FY2025 financials. Reporter reviewed confidential prospectus; underlying statements not reviewed here.
URL: https://www.reuters.com/business/finance/anthropics-ipo-prospectus-shows-sweeping-ai-vision-surging-costs-2026-09-28/</x:v>
      </x:c>
      <x:c r="I32" s="3"/>
    </x:row>
    <x:row r="33" ht="78" customHeight="1">
      <x:c r="A33" s="3"/>
      <x:c r="B33" s="3"/>
      <x:c r="C33" s="27" t="str">
        <x:v>S08</x:v>
      </x:c>
      <x:c r="D33" s="28" t="str">
        <x:v>Ars Technica
2026-06-16T16:18:07Z</x:v>
      </x:c>
      <x:c r="E33" s="28" t="str">
        <x:v>OpenAI leaked financial statements</x:v>
      </x:c>
      <x:c r="F33" s="28" t="str">
        <x:v>Reported evidence</x:v>
      </x:c>
      <x:c r="G33" s="3"/>
      <x:c r="H33" s="28" t="str">
        <x:v>Reported FY2025 financials. Reports leaked statements obtained by Ed Zitron and separately reviewed by FT; described as audited; underlying statements not reviewed here.
URL: https://arstechnica.com/ai/2026/06/leaked-financial-docs-show-openai-is-losing-billions-of-dollars-a-year/</x:v>
      </x:c>
      <x:c r="I33" s="3"/>
    </x:row>
    <x:row r="34" ht="64" customHeight="1">
      <x:c r="A34" s="3"/>
      <x:c r="B34" s="3"/>
      <x:c r="C34" s="3" t="str">
        <x:v>S09</x:v>
      </x:c>
      <x:c r="D34" s="26" t="str">
        <x:v>Reuters
2026-09-29T20:53:00Z</x:v>
      </x:c>
      <x:c r="E34" s="26" t="str">
        <x:v>Anthropic partner accounting and concentration</x:v>
      </x:c>
      <x:c r="F34" s="26" t="str">
        <x:v>Reported evidence</x:v>
      </x:c>
      <x:c r="G34" s="3"/>
      <x:c r="H34" s="26" t="str">
        <x:v>2025 cloud channel revenue and fees. Confidential prospectus reviewed by Reuters plus its fee analysis.
URL: https://www.reuters.com/world/anthropic-ipo-prospectus-lays-bare-deep-dependence-big-tech-partners-2026-09-29/</x:v>
      </x:c>
      <x:c r="I34" s="3"/>
    </x:row>
    <x:row r="35" ht="64" customHeight="1">
      <x:c r="A35" s="3"/>
      <x:c r="B35" s="3"/>
      <x:c r="C35" s="27" t="str">
        <x:v>S10</x:v>
      </x:c>
      <x:c r="D35" s="28" t="str">
        <x:v>OpenAI (also Microsoft)
2026-04-27</x:v>
      </x:c>
      <x:c r="E35" s="28" t="str">
        <x:v>Amended Microsoft commercial agreement</x:v>
      </x:c>
      <x:c r="F35" s="28" t="str">
        <x:v>Company disclosure</x:v>
      </x:c>
      <x:c r="G35" s="3"/>
      <x:c r="H35" s="28" t="str">
        <x:v>Microsoft amended commercial terms. Primary bilateral contract summary; royalty percentage and total cap not specified.
URL: https://openai.com/index/next-phase-of-microsoft-partnership/</x:v>
      </x:c>
      <x:c r="I35" s="3"/>
    </x:row>
    <x:row r="36" ht="64" customHeight="1">
      <x:c r="A36" s="3"/>
      <x:c r="B36" s="3"/>
      <x:c r="C36" s="3" t="str">
        <x:v>S11</x:v>
      </x:c>
      <x:c r="D36" s="26" t="str">
        <x:v>Amazon
2026-04-20</x:v>
      </x:c>
      <x:c r="E36" s="26" t="str">
        <x:v>Expanded Anthropic collaboration</x:v>
      </x:c>
      <x:c r="F36" s="26" t="str">
        <x:v>Company disclosure</x:v>
      </x:c>
      <x:c r="G36" s="3"/>
      <x:c r="H36" s="26" t="str">
        <x:v>Amazon investment and compute agreement. Primary investor/supplier announcement; future investment conditional on commercial milestones.
URL: https://www.aboutamazon.com/news/company-news/amazon-invests-additional-5-billion-anthropic-ai</x:v>
      </x:c>
      <x:c r="I36" s="3"/>
    </x:row>
    <x:row r="37" ht="56" customHeight="1">
      <x:c r="A37" s="3"/>
      <x:c r="B37" s="3"/>
      <x:c r="C37" s="27" t="str">
        <x:v>S12</x:v>
      </x:c>
      <x:c r="D37" s="28" t="str">
        <x:v>OpenAI
2026-02-27</x:v>
      </x:c>
      <x:c r="E37" s="28" t="str">
        <x:v>Amazon strategic partnership</x:v>
      </x:c>
      <x:c r="F37" s="28" t="str">
        <x:v>Company disclosure</x:v>
      </x:c>
      <x:c r="G37" s="3"/>
      <x:c r="H37" s="28" t="str">
        <x:v>Amazon investment and compute agreement. Primary announcement; future investment installment conditional.
URL: https://openai.com/index/amazon-partnership/</x:v>
      </x:c>
      <x:c r="I37" s="3"/>
    </x:row>
    <x:row r="38" ht="78" customHeight="1">
      <x:c r="A38" s="3"/>
      <x:c r="B38" s="3"/>
      <x:c r="C38" s="3" t="str">
        <x:v>S13</x:v>
      </x:c>
      <x:c r="D38" s="26" t="str">
        <x:v>Reuters
2026-09-29T10:08:00Z</x:v>
      </x:c>
      <x:c r="E38" s="26" t="str">
        <x:v>Anthropic infrastructure commitments</x:v>
      </x:c>
      <x:c r="F38" s="26" t="str">
        <x:v>Reported evidence</x:v>
      </x:c>
      <x:c r="G38" s="3"/>
      <x:c r="H38" s="26" t="str">
        <x:v>Infrastructure obligations in confidential prospectus. Reporter reviewed confidential prospectus; debt and lease accounting notes unavailable.
URL: https://www.reuters.com/business/anthropics-518-billion-ai-buildout-hinges-largely-deals-that-cannot-be-canceled-2026-09-29/</x:v>
      </x:c>
      <x:c r="I38" s="3"/>
    </x:row>
    <x:row r="39" ht="64" customHeight="1">
      <x:c r="A39" s="3"/>
      <x:c r="B39" s="3"/>
      <x:c r="C39" s="27" t="str">
        <x:v>S14</x:v>
      </x:c>
      <x:c r="D39" s="28" t="str">
        <x:v>Reuters citing FT
2026-10-17T00:57:00Z</x:v>
      </x:c>
      <x:c r="E39" s="28" t="str">
        <x:v>Anthropic chip-financing offer</x:v>
      </x:c>
      <x:c r="F39" s="28" t="str">
        <x:v>Reported evidence</x:v>
      </x:c>
      <x:c r="G39" s="3"/>
      <x:c r="H39" s="28" t="str">
        <x:v>Chip financing offered to Blackstone. Reported offer; Reuters explicitly could not independently verify.
URL: https://www.reuters.com/business/anthropic-offers-blackstone-double-digit-yield-chip-financing-deal-ft-reports-2026-10-17/</x:v>
      </x:c>
      <x:c r="I39" s="3"/>
    </x:row>
    <x:row r="40" ht="78" customHeight="1">
      <x:c r="A40" s="3"/>
      <x:c r="B40" s="3"/>
      <x:c r="C40" s="3" t="str">
        <x:v>S15</x:v>
      </x:c>
      <x:c r="D40" s="26" t="str">
        <x:v>Financial Times
2026-09-18T22:33:32Z</x:v>
      </x:c>
      <x:c r="E40" s="26" t="str">
        <x:v>OpenAI funding-needs forecast</x:v>
      </x:c>
      <x:c r="F40" s="26" t="str">
        <x:v>Reported evidence</x:v>
      </x:c>
      <x:c r="G40" s="3"/>
      <x:c r="H40" s="26" t="str">
        <x:v>Reported company cash-flow forecast. FT report of a company presentation, available through a search extract; the full article required a subscription. Treat forecast amounts as attributed reporting, not realized outcomes.
URL: https://www.ft.com/content/6011d061-eee3-4193-b3b7-8ee4155f538c</x:v>
      </x:c>
      <x:c r="I40" s="3"/>
    </x:row>
    <x:row r="41" ht="56" customHeight="1">
      <x:c r="A41" s="3"/>
      <x:c r="B41" s="3"/>
      <x:c r="C41" s="27" t="str">
        <x:v>S16</x:v>
      </x:c>
      <x:c r="D41" s="28" t="str">
        <x:v>OpenAI
Undated live page; structure announced 2025-10-28</x:v>
      </x:c>
      <x:c r="E41" s="28" t="str">
        <x:v>OpenAI corporate structure</x:v>
      </x:c>
      <x:c r="F41" s="28" t="str">
        <x:v>Company disclosure</x:v>
      </x:c>
      <x:c r="G41" s="3"/>
      <x:c r="H41" s="28" t="str">
        <x:v>Recapitalization equity and control. Primary, but stated ownership percentages are at 2025 recapitalization close.
URL: https://openai.com/our-structure/</x:v>
      </x:c>
      <x:c r="I41" s="3"/>
    </x:row>
    <x:row r="42" ht="56" customHeight="1">
      <x:c r="A42" s="3"/>
      <x:c r="B42" s="3"/>
      <x:c r="C42" s="3" t="str">
        <x:v>S17</x:v>
      </x:c>
      <x:c r="D42" s="26" t="str">
        <x:v>Anthropic
2023-09-19; subsequently updated</x:v>
      </x:c>
      <x:c r="E42" s="26" t="str">
        <x:v>Long-Term Benefit Trust</x:v>
      </x:c>
      <x:c r="F42" s="26" t="str">
        <x:v>Company disclosure</x:v>
      </x:c>
      <x:c r="G42" s="3"/>
      <x:c r="H42" s="26" t="str">
        <x:v>Public benefit corporation and Trust governance. Primary governance description; not a full current cap table.
URL: https://www.anthropic.com/news/the-long-term-benefit-trust</x:v>
      </x:c>
      <x:c r="I42" s="3"/>
    </x:row>
    <x:row r="43" ht="78" customHeight="1">
      <x:c r="A43" s="3"/>
      <x:c r="B43" s="3"/>
      <x:c r="C43" s="27" t="str">
        <x:v>S18</x:v>
      </x:c>
      <x:c r="D43" s="28" t="str">
        <x:v>Reuters
2026-10-14; updated 2026-10-15</x:v>
      </x:c>
      <x:c r="E43" s="28" t="str">
        <x:v>Anthropic Q3 investor-day revenue</x:v>
      </x:c>
      <x:c r="F43" s="28" t="str">
        <x:v>Reported evidence</x:v>
      </x:c>
      <x:c r="G43" s="3"/>
      <x:c r="H43" s="28" t="str">
        <x:v>Q1 $4.7B, Q2 $11.6B and Q3 $16.8B underpin the illustrative full-year revenue bridge. Based on investor-day reporting; underlying statements and an adjusted-profit reconciliation were not reviewed.
URL: https://www.reuters.com/business/finance/anthropics-q3-revenue-surges-45-nearly-17-billion-2026-10-14/</x:v>
      </x:c>
      <x:c r="I43" s="3"/>
    </x:row>
    <x:row r="44" ht="64" customHeight="1">
      <x:c r="A44" s="3"/>
      <x:c r="B44" s="3"/>
      <x:c r="C44" s="3" t="str">
        <x:v>S19</x:v>
      </x:c>
      <x:c r="D44" s="26" t="str">
        <x:v>Aswath Damodaran / NYU Stern
Undated; retrieved 2026-10-18</x:v>
      </x:c>
      <x:c r="E44" s="26" t="str">
        <x:v>Stable growth and reinvestment</x:v>
      </x:c>
      <x:c r="F44" s="26" t="str">
        <x:v>Academic methodology</x:v>
      </x:c>
      <x:c r="G44" s="3"/>
      <x:c r="H44" s="26" t="str">
        <x:v>Terminal reinvestment rate equals perpetual growth divided by return on capital. Supports a valuation relationship, not a company-specific discount rate, return on capital or growth assumption.
URL: https://pages.stern.nyu.edu/adamodar/New_Home_Page/valquestions/a11.htm</x:v>
      </x:c>
      <x:c r="I44" s="3"/>
    </x:row>
    <x:row r="45" ht="20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0" customHeight="1">
      <x:c r="A46" s="3"/>
      <x:c r="B46" s="3"/>
      <x:c r="C46" s="3"/>
      <x:c r="D46" s="3"/>
      <x:c r="E46" s="3"/>
      <x:c r="F46" s="3"/>
      <x:c r="G46" s="3"/>
      <x:c r="H46" s="3"/>
      <x:c r="I46" s="3"/>
    </x:row>
    <x:row r="47" ht="2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</x:row>
  </x:sheetData>
  <x:pageMargins left="0.7" right="0.7" top="0.75" bottom="0.75" header="0.3" footer="0.3"/>
  <x:legacyDrawing xmlns:r="http://schemas.openxmlformats.org/officeDocument/2006/relationships" r:id="R835b02a986ef4d72"/>
</x:worksheet>
</file>